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nni\Dropbox (Arkie Designs)\Arkie Designs Team Folder\QuotingSheets\"/>
    </mc:Choice>
  </mc:AlternateContent>
  <xr:revisionPtr revIDLastSave="0" documentId="13_ncr:1_{EEE54179-EB0A-4ED6-A588-FD3CB5EF7846}" xr6:coauthVersionLast="44" xr6:coauthVersionMax="44" xr10:uidLastSave="{00000000-0000-0000-0000-000000000000}"/>
  <bookViews>
    <workbookView xWindow="-98" yWindow="-98" windowWidth="22695" windowHeight="14595" xr2:uid="{00000000-000D-0000-FFFF-FFFF00000000}"/>
  </bookViews>
  <sheets>
    <sheet name="QuotingSheet" sheetId="2" r:id="rId1"/>
    <sheet name="PriceList" sheetId="1" r:id="rId2"/>
  </sheets>
  <definedNames>
    <definedName name="CounterTop">CounterTopLookup[CounterTop]</definedName>
    <definedName name="DesignList">Designs[Designs]</definedName>
    <definedName name="Door">DoorLookup[Doors, system size]</definedName>
    <definedName name="Drawer">DrawerLookup[Drawer fronts, system size]</definedName>
    <definedName name="ExternalData_15" localSheetId="1" hidden="1">PriceList!#REF!</definedName>
    <definedName name="Filler">FillerLookup[Fillers]</definedName>
    <definedName name="Finish">Finishes[Finishes]</definedName>
    <definedName name="HandlePosition">Table12[Handle Position]</definedName>
    <definedName name="Handles">PriceList!$B$125:$B$129</definedName>
    <definedName name="Hinging">Table9[Hinging]</definedName>
    <definedName name="Hole">PriceList!$D$197:$D$199</definedName>
    <definedName name="HorizontalDoor">HorizontalDoorLookup[Horizontal Doors]</definedName>
    <definedName name="Kickboard">KickboardLookup[Kickboard]</definedName>
    <definedName name="Laminate">PriceList!$B$197:$B$198</definedName>
    <definedName name="Linoleum">PriceList!$C$197:$C$217</definedName>
    <definedName name="MaterialLookup">Designs[]</definedName>
    <definedName name="MDFDoor">MDFDoorLookup[MDF Doors]</definedName>
    <definedName name="NaturalPlywoodCounterTop">PriceList!$B$101:$B$104</definedName>
    <definedName name="Panel">PanelLookup[Panels]</definedName>
    <definedName name="PAXDoor">PAXDoorLookup[PAX MDF Doors]</definedName>
    <definedName name="PriceLookup">Designs7[#All]</definedName>
    <definedName name="_xlnm.Print_Area" localSheetId="0">QuotingSheet!$B:$K</definedName>
    <definedName name="Type">TypeofFront[Type of front]</definedName>
    <definedName name="Type2">TypeofFront8[Type of front]</definedName>
    <definedName name="Veneer">PriceList!$E$197:$E$200</definedName>
    <definedName name="WallcupboardDoor">WallCupboardDoors[Wall Cupboard Doors]</definedName>
    <definedName name="WallCupboardDoorLookup">WallCupboardDoors[]</definedName>
    <definedName name="WallCupboardPanel">WallCupboardPanelLookup[WallCupboardPanels]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2" l="1"/>
  <c r="I52" i="2" s="1"/>
  <c r="E52" i="2"/>
  <c r="G101" i="2" l="1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I13" i="2"/>
  <c r="M101" i="2" l="1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P101" i="2"/>
  <c r="Q101" i="2" s="1"/>
  <c r="P100" i="2"/>
  <c r="Q100" i="2" s="1"/>
  <c r="P99" i="2"/>
  <c r="Q99" i="2" s="1"/>
  <c r="P98" i="2"/>
  <c r="Q98" i="2" s="1"/>
  <c r="P97" i="2"/>
  <c r="Q97" i="2" s="1"/>
  <c r="P96" i="2"/>
  <c r="Q96" i="2" s="1"/>
  <c r="P95" i="2"/>
  <c r="Q95" i="2" s="1"/>
  <c r="P94" i="2"/>
  <c r="Q94" i="2" s="1"/>
  <c r="P93" i="2"/>
  <c r="Q93" i="2" s="1"/>
  <c r="P92" i="2"/>
  <c r="Q92" i="2" s="1"/>
  <c r="P91" i="2"/>
  <c r="Q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P65" i="2"/>
  <c r="Q65" i="2" s="1"/>
  <c r="P64" i="2"/>
  <c r="Q64" i="2" s="1"/>
  <c r="P63" i="2"/>
  <c r="Q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G52" i="2" s="1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Q52" i="2" l="1"/>
  <c r="E11" i="2" l="1"/>
  <c r="C11" i="2"/>
  <c r="L7" i="2"/>
  <c r="M8" i="2"/>
  <c r="M7" i="2"/>
  <c r="E29" i="2"/>
  <c r="E28" i="2"/>
  <c r="E27" i="2"/>
  <c r="E26" i="2"/>
  <c r="E25" i="2"/>
  <c r="E24" i="2"/>
  <c r="E23" i="2"/>
  <c r="E22" i="2"/>
  <c r="E21" i="2"/>
  <c r="E20" i="2"/>
  <c r="D221" i="1" l="1"/>
  <c r="C221" i="1"/>
  <c r="B221" i="1"/>
  <c r="E101" i="2" l="1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C13" i="2" l="1"/>
  <c r="F13" i="2" l="1"/>
  <c r="E13" i="2"/>
  <c r="M48" i="2" l="1"/>
  <c r="M47" i="2"/>
  <c r="M46" i="2"/>
  <c r="M45" i="2"/>
  <c r="M44" i="2"/>
  <c r="M43" i="2"/>
  <c r="M41" i="2"/>
  <c r="M40" i="2"/>
  <c r="M39" i="2"/>
  <c r="M38" i="2"/>
  <c r="M37" i="2"/>
  <c r="M36" i="2"/>
  <c r="M35" i="2"/>
  <c r="M34" i="2"/>
  <c r="M33" i="2"/>
  <c r="M32" i="2"/>
  <c r="M31" i="2"/>
  <c r="M30" i="2"/>
  <c r="L101" i="2" l="1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H20" i="2" l="1"/>
  <c r="I20" i="2" s="1"/>
  <c r="H21" i="2" l="1"/>
  <c r="I21" i="2" s="1"/>
  <c r="H101" i="2"/>
  <c r="H100" i="2"/>
  <c r="H99" i="2"/>
  <c r="H98" i="2"/>
  <c r="H97" i="2"/>
  <c r="H96" i="2"/>
  <c r="H95" i="2"/>
  <c r="H94" i="2"/>
  <c r="H93" i="2"/>
  <c r="H92" i="2"/>
  <c r="H91" i="2"/>
  <c r="N91" i="2" s="1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I53" i="2" s="1"/>
  <c r="H48" i="2"/>
  <c r="H47" i="2"/>
  <c r="H46" i="2"/>
  <c r="H45" i="2"/>
  <c r="H44" i="2"/>
  <c r="H43" i="2"/>
  <c r="H42" i="2"/>
  <c r="I42" i="2" s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K9" i="2"/>
  <c r="K17" i="2"/>
  <c r="K7" i="2"/>
  <c r="G14" i="2"/>
  <c r="K16" i="2"/>
  <c r="K15" i="2"/>
  <c r="K14" i="2"/>
  <c r="K13" i="2"/>
  <c r="K12" i="2"/>
  <c r="K11" i="2"/>
  <c r="K10" i="2"/>
  <c r="K8" i="2"/>
  <c r="K4" i="2"/>
  <c r="G27" i="2"/>
  <c r="G22" i="2"/>
  <c r="G23" i="2"/>
  <c r="G26" i="2"/>
  <c r="G28" i="2"/>
  <c r="G29" i="2"/>
  <c r="G25" i="2"/>
  <c r="G24" i="2"/>
  <c r="G21" i="2"/>
  <c r="G20" i="2"/>
  <c r="K35" i="2" l="1"/>
  <c r="K47" i="2"/>
  <c r="K32" i="2"/>
  <c r="K36" i="2"/>
  <c r="K40" i="2"/>
  <c r="K44" i="2"/>
  <c r="K48" i="2"/>
  <c r="K31" i="2"/>
  <c r="K43" i="2"/>
  <c r="K33" i="2"/>
  <c r="K37" i="2"/>
  <c r="K41" i="2"/>
  <c r="K45" i="2"/>
  <c r="K39" i="2"/>
  <c r="K30" i="2"/>
  <c r="K34" i="2"/>
  <c r="K38" i="2"/>
  <c r="K42" i="2"/>
  <c r="K46" i="2"/>
  <c r="N23" i="2"/>
  <c r="N27" i="2"/>
  <c r="N43" i="2"/>
  <c r="N71" i="2"/>
  <c r="J75" i="2"/>
  <c r="J91" i="2"/>
  <c r="J100" i="2"/>
  <c r="J39" i="2"/>
  <c r="J47" i="2"/>
  <c r="N59" i="2"/>
  <c r="N39" i="2"/>
  <c r="J42" i="2"/>
  <c r="N47" i="2"/>
  <c r="J59" i="2"/>
  <c r="N67" i="2"/>
  <c r="N83" i="2"/>
  <c r="N95" i="2"/>
  <c r="N99" i="2"/>
  <c r="N75" i="2"/>
  <c r="J55" i="2"/>
  <c r="J95" i="2"/>
  <c r="J23" i="2"/>
  <c r="K23" i="2" s="1"/>
  <c r="N31" i="2"/>
  <c r="N35" i="2"/>
  <c r="J43" i="2"/>
  <c r="N63" i="2"/>
  <c r="J79" i="2"/>
  <c r="J87" i="2"/>
  <c r="J21" i="2"/>
  <c r="K21" i="2" s="1"/>
  <c r="N55" i="2"/>
  <c r="N87" i="2"/>
  <c r="J27" i="2"/>
  <c r="K27" i="2" s="1"/>
  <c r="J71" i="2"/>
  <c r="N21" i="2"/>
  <c r="J63" i="2"/>
  <c r="N79" i="2"/>
  <c r="N22" i="2"/>
  <c r="J26" i="2"/>
  <c r="K26" i="2" s="1"/>
  <c r="J30" i="2"/>
  <c r="J34" i="2"/>
  <c r="J38" i="2"/>
  <c r="N42" i="2"/>
  <c r="J46" i="2"/>
  <c r="N54" i="2"/>
  <c r="J58" i="2"/>
  <c r="J62" i="2"/>
  <c r="N66" i="2"/>
  <c r="J70" i="2"/>
  <c r="N74" i="2"/>
  <c r="J78" i="2"/>
  <c r="J82" i="2"/>
  <c r="N86" i="2"/>
  <c r="J90" i="2"/>
  <c r="J94" i="2"/>
  <c r="J98" i="2"/>
  <c r="N30" i="2"/>
  <c r="N82" i="2"/>
  <c r="N94" i="2"/>
  <c r="J35" i="2"/>
  <c r="J67" i="2"/>
  <c r="J83" i="2"/>
  <c r="J99" i="2"/>
  <c r="J31" i="2"/>
  <c r="J24" i="2"/>
  <c r="K24" i="2" s="1"/>
  <c r="N28" i="2"/>
  <c r="J32" i="2"/>
  <c r="N36" i="2"/>
  <c r="J40" i="2"/>
  <c r="N44" i="2"/>
  <c r="J48" i="2"/>
  <c r="N52" i="2"/>
  <c r="M52" i="2" s="1"/>
  <c r="J56" i="2"/>
  <c r="N60" i="2"/>
  <c r="J64" i="2"/>
  <c r="N68" i="2"/>
  <c r="J72" i="2"/>
  <c r="N76" i="2"/>
  <c r="J80" i="2"/>
  <c r="N84" i="2"/>
  <c r="J88" i="2"/>
  <c r="N92" i="2"/>
  <c r="J96" i="2"/>
  <c r="N100" i="2"/>
  <c r="N62" i="2"/>
  <c r="J54" i="2"/>
  <c r="J66" i="2"/>
  <c r="N25" i="2"/>
  <c r="N29" i="2"/>
  <c r="N33" i="2"/>
  <c r="N37" i="2"/>
  <c r="N41" i="2"/>
  <c r="N45" i="2"/>
  <c r="N53" i="2"/>
  <c r="N57" i="2"/>
  <c r="N61" i="2"/>
  <c r="N65" i="2"/>
  <c r="N69" i="2"/>
  <c r="N73" i="2"/>
  <c r="N77" i="2"/>
  <c r="N81" i="2"/>
  <c r="N85" i="2"/>
  <c r="N89" i="2"/>
  <c r="N93" i="2"/>
  <c r="N97" i="2"/>
  <c r="N101" i="2"/>
  <c r="N34" i="2"/>
  <c r="N46" i="2"/>
  <c r="N78" i="2"/>
  <c r="N98" i="2"/>
  <c r="N96" i="2"/>
  <c r="J74" i="2"/>
  <c r="J86" i="2"/>
  <c r="J22" i="2"/>
  <c r="K22" i="2" s="1"/>
  <c r="J36" i="2"/>
  <c r="J84" i="2"/>
  <c r="J92" i="2"/>
  <c r="N32" i="2"/>
  <c r="J28" i="2"/>
  <c r="K28" i="2" s="1"/>
  <c r="J68" i="2"/>
  <c r="J76" i="2"/>
  <c r="N64" i="2"/>
  <c r="J52" i="2"/>
  <c r="K52" i="2" s="1"/>
  <c r="J60" i="2"/>
  <c r="J44" i="2"/>
  <c r="N40" i="2"/>
  <c r="N72" i="2"/>
  <c r="N24" i="2"/>
  <c r="N48" i="2"/>
  <c r="N80" i="2"/>
  <c r="N56" i="2"/>
  <c r="N88" i="2"/>
  <c r="N26" i="2"/>
  <c r="N58" i="2"/>
  <c r="N90" i="2"/>
  <c r="N38" i="2"/>
  <c r="N70" i="2"/>
  <c r="N20" i="2"/>
  <c r="J25" i="2"/>
  <c r="K25" i="2" s="1"/>
  <c r="J29" i="2"/>
  <c r="K29" i="2" s="1"/>
  <c r="J33" i="2"/>
  <c r="J37" i="2"/>
  <c r="J41" i="2"/>
  <c r="J45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20" i="2"/>
  <c r="K20" i="2" s="1"/>
  <c r="M23" i="2"/>
  <c r="M26" i="2"/>
  <c r="M22" i="2"/>
  <c r="M27" i="2"/>
  <c r="M24" i="2"/>
  <c r="M21" i="2"/>
  <c r="M28" i="2"/>
  <c r="M25" i="2"/>
  <c r="M29" i="2"/>
  <c r="M42" i="2"/>
  <c r="M20" i="2"/>
  <c r="M6" i="2" l="1"/>
  <c r="M9" i="2" s="1"/>
  <c r="H14" i="2"/>
  <c r="K6" i="2" l="1"/>
  <c r="K5" i="2" s="1"/>
</calcChain>
</file>

<file path=xl/sharedStrings.xml><?xml version="1.0" encoding="utf-8"?>
<sst xmlns="http://schemas.openxmlformats.org/spreadsheetml/2006/main" count="435" uniqueCount="234">
  <si>
    <t>Type of front</t>
  </si>
  <si>
    <t>Drawer</t>
  </si>
  <si>
    <t>Door</t>
  </si>
  <si>
    <t>WallCupboardDoor</t>
  </si>
  <si>
    <t>Kickboard</t>
  </si>
  <si>
    <t>CounterTop</t>
  </si>
  <si>
    <t>Filler</t>
  </si>
  <si>
    <t>Panel</t>
  </si>
  <si>
    <t>Designs</t>
  </si>
  <si>
    <t>Design Column</t>
  </si>
  <si>
    <t>Natural Plywood</t>
  </si>
  <si>
    <t>Finishes</t>
  </si>
  <si>
    <t>Straight off the saw</t>
  </si>
  <si>
    <t>Finished</t>
  </si>
  <si>
    <t>PRICE LIST</t>
  </si>
  <si>
    <t>Doors, system size</t>
  </si>
  <si>
    <t>Laminated Plywood</t>
  </si>
  <si>
    <t>Linoleum Surfaced Plywood</t>
  </si>
  <si>
    <t>20x80</t>
  </si>
  <si>
    <t>40x40</t>
  </si>
  <si>
    <t>40x60</t>
  </si>
  <si>
    <t>40x80</t>
  </si>
  <si>
    <t>40x100</t>
  </si>
  <si>
    <t>40x120</t>
  </si>
  <si>
    <t>40x140</t>
  </si>
  <si>
    <t>40x180</t>
  </si>
  <si>
    <t>40x200</t>
  </si>
  <si>
    <t>60x40</t>
  </si>
  <si>
    <t>60x60</t>
  </si>
  <si>
    <t>60x80</t>
  </si>
  <si>
    <t>60x100</t>
  </si>
  <si>
    <t>60x120</t>
  </si>
  <si>
    <t>60x140</t>
  </si>
  <si>
    <t>60x180</t>
  </si>
  <si>
    <t>60x200</t>
  </si>
  <si>
    <t>25x80 + 25x80</t>
  </si>
  <si>
    <t>Wall Cupboard Doors</t>
  </si>
  <si>
    <t>30x40</t>
  </si>
  <si>
    <t>30x60</t>
  </si>
  <si>
    <t>30x80</t>
  </si>
  <si>
    <t>30x100</t>
  </si>
  <si>
    <t>Horizontal Doors</t>
  </si>
  <si>
    <t>80x40</t>
  </si>
  <si>
    <t>100x40</t>
  </si>
  <si>
    <t>Panels</t>
  </si>
  <si>
    <t>39x40</t>
  </si>
  <si>
    <t>39x60</t>
  </si>
  <si>
    <t>39x80</t>
  </si>
  <si>
    <t>39x100</t>
  </si>
  <si>
    <t>39x200</t>
  </si>
  <si>
    <t>39x240</t>
  </si>
  <si>
    <t>62x80</t>
  </si>
  <si>
    <t>62x200</t>
  </si>
  <si>
    <t>62x220</t>
  </si>
  <si>
    <t>62x240</t>
  </si>
  <si>
    <t>240x80</t>
  </si>
  <si>
    <t>Fillers</t>
  </si>
  <si>
    <t>5x80</t>
  </si>
  <si>
    <t>5x240</t>
  </si>
  <si>
    <t>10x80</t>
  </si>
  <si>
    <t>10x240</t>
  </si>
  <si>
    <t>Handles</t>
  </si>
  <si>
    <t>Price</t>
  </si>
  <si>
    <t>Finger Pull</t>
  </si>
  <si>
    <t>Cutout</t>
  </si>
  <si>
    <t>Hole</t>
  </si>
  <si>
    <t>Overhang</t>
  </si>
  <si>
    <t>Handle Position</t>
  </si>
  <si>
    <t>Centre</t>
  </si>
  <si>
    <t>Top Left</t>
  </si>
  <si>
    <t>Top Right</t>
  </si>
  <si>
    <t>Custom</t>
  </si>
  <si>
    <t>Hinging</t>
  </si>
  <si>
    <t>Left</t>
  </si>
  <si>
    <t>Right</t>
  </si>
  <si>
    <t>Bill to:</t>
  </si>
  <si>
    <t>Ship to:</t>
  </si>
  <si>
    <t>TOTAL:</t>
  </si>
  <si>
    <t>(Excluding Shipping)</t>
  </si>
  <si>
    <t>Total Drawers:</t>
  </si>
  <si>
    <t>Total Doors:</t>
  </si>
  <si>
    <t>Total Wall Doors:</t>
  </si>
  <si>
    <t>Total Kickboards:</t>
  </si>
  <si>
    <t>Design:</t>
  </si>
  <si>
    <t>Total Counter Tops:</t>
  </si>
  <si>
    <t>Finish:</t>
  </si>
  <si>
    <t>Total Fillers:</t>
  </si>
  <si>
    <t>Handle:</t>
  </si>
  <si>
    <t>Total Panels:</t>
  </si>
  <si>
    <t>Qty</t>
  </si>
  <si>
    <t>Price per front</t>
  </si>
  <si>
    <t>Price per Handle</t>
  </si>
  <si>
    <t>Total Price</t>
  </si>
  <si>
    <t>HorizontalDoor</t>
  </si>
  <si>
    <t>Bottom Left</t>
  </si>
  <si>
    <t>Bottom Right</t>
  </si>
  <si>
    <t>62x88</t>
  </si>
  <si>
    <t>39x88</t>
  </si>
  <si>
    <t>WallCupboardPanel</t>
  </si>
  <si>
    <t>WallCupboardPanels</t>
  </si>
  <si>
    <t>Total Horizontal Doors:</t>
  </si>
  <si>
    <t>Total Wall Panels:</t>
  </si>
  <si>
    <t>40x10</t>
  </si>
  <si>
    <t>40x20</t>
  </si>
  <si>
    <t>60x10</t>
  </si>
  <si>
    <t>60x20</t>
  </si>
  <si>
    <t>80x10</t>
  </si>
  <si>
    <t>80x20</t>
  </si>
  <si>
    <t>80x60</t>
  </si>
  <si>
    <t>Drawer fronts, system size</t>
  </si>
  <si>
    <t>Finishing</t>
  </si>
  <si>
    <t>Finish Whole Panel Price</t>
  </si>
  <si>
    <t>-</t>
  </si>
  <si>
    <t>Colour:</t>
  </si>
  <si>
    <t>Colour</t>
  </si>
  <si>
    <t>Black</t>
  </si>
  <si>
    <t>White</t>
  </si>
  <si>
    <t>Laminate</t>
  </si>
  <si>
    <t>Linoleum</t>
  </si>
  <si>
    <t>Nero</t>
  </si>
  <si>
    <t>Powder</t>
  </si>
  <si>
    <t>Pearl</t>
  </si>
  <si>
    <t>Vapour</t>
  </si>
  <si>
    <t>Iron</t>
  </si>
  <si>
    <t>Mushroom</t>
  </si>
  <si>
    <t>Ash</t>
  </si>
  <si>
    <t>Charcoal</t>
  </si>
  <si>
    <t>Pebble</t>
  </si>
  <si>
    <t>Pewter</t>
  </si>
  <si>
    <t>Mauve</t>
  </si>
  <si>
    <t>Smokey Blue</t>
  </si>
  <si>
    <t>Aquavert</t>
  </si>
  <si>
    <t>Pistachio</t>
  </si>
  <si>
    <t>Conifer</t>
  </si>
  <si>
    <t>Olive</t>
  </si>
  <si>
    <t>Burgundy</t>
  </si>
  <si>
    <t>Midnight Blue</t>
  </si>
  <si>
    <t>Salsa</t>
  </si>
  <si>
    <t>Spring Green</t>
  </si>
  <si>
    <t>Orange Blast</t>
  </si>
  <si>
    <t>18mm 240x63.5</t>
  </si>
  <si>
    <t>30mm 240x63.5</t>
  </si>
  <si>
    <t>Handle Colour:</t>
  </si>
  <si>
    <t>--</t>
  </si>
  <si>
    <t>Blackbutt</t>
  </si>
  <si>
    <t>Celery Top Pine</t>
  </si>
  <si>
    <t>Oak</t>
  </si>
  <si>
    <t>Size, cm</t>
  </si>
  <si>
    <t>Laminated</t>
  </si>
  <si>
    <t>Matte Laminated Plywood</t>
  </si>
  <si>
    <t>MDF Doors</t>
  </si>
  <si>
    <t>MDFDoor</t>
  </si>
  <si>
    <t>PAXDoor</t>
  </si>
  <si>
    <t>PAX MDF Doors</t>
  </si>
  <si>
    <t>Natural Birch Veneer</t>
  </si>
  <si>
    <t>Matte Laminated</t>
  </si>
  <si>
    <t>50x195</t>
  </si>
  <si>
    <t>50x229</t>
  </si>
  <si>
    <t>Plain/None</t>
  </si>
  <si>
    <t>40x220</t>
  </si>
  <si>
    <t>40x240</t>
  </si>
  <si>
    <t>60x220</t>
  </si>
  <si>
    <t>60x240</t>
  </si>
  <si>
    <t>Column number of finishing</t>
  </si>
  <si>
    <t>Whole Panel</t>
  </si>
  <si>
    <t>Total PAX Doors:</t>
  </si>
  <si>
    <t>15x80</t>
  </si>
  <si>
    <t>15x240</t>
  </si>
  <si>
    <t>Linoleum Edge Finish Price</t>
  </si>
  <si>
    <t>Laminate Edges Finish Price</t>
  </si>
  <si>
    <t>Laminate Edges</t>
  </si>
  <si>
    <t>Lino Edges</t>
  </si>
  <si>
    <t>Finish</t>
  </si>
  <si>
    <t>Handle Finish</t>
  </si>
  <si>
    <t>Left, 78cm from bottom</t>
  </si>
  <si>
    <t>Right, 78cm from bottom</t>
  </si>
  <si>
    <t>Minimum order</t>
  </si>
  <si>
    <t>Minimum order finished</t>
  </si>
  <si>
    <t>18mm 240x104</t>
  </si>
  <si>
    <t>30mm 240x104</t>
  </si>
  <si>
    <t>N/A</t>
  </si>
  <si>
    <t>30mm 286x63.5</t>
  </si>
  <si>
    <t>Quote valid for 30 days from date of download</t>
  </si>
  <si>
    <t>Quoting Sheet</t>
  </si>
  <si>
    <t>Flat Laminex Colour Plywood</t>
  </si>
  <si>
    <t>Flat Laminex Colour</t>
  </si>
  <si>
    <t>5% Discount</t>
  </si>
  <si>
    <t>10% Discount</t>
  </si>
  <si>
    <t>2xBlind Corner Fillers</t>
  </si>
  <si>
    <t>240x88</t>
  </si>
  <si>
    <t>101x80 (island 60+37)</t>
  </si>
  <si>
    <t>101x88 (island 60+37)</t>
  </si>
  <si>
    <t>124x80 (island 60+60)</t>
  </si>
  <si>
    <t>124x88 (island 60+60)</t>
  </si>
  <si>
    <t>220x8</t>
  </si>
  <si>
    <t>180x8 Lino only</t>
  </si>
  <si>
    <t>Pull-out</t>
  </si>
  <si>
    <t>Dishwasher Panel 60x80</t>
  </si>
  <si>
    <t>Veneer</t>
  </si>
  <si>
    <t>Veneer on Plywood</t>
  </si>
  <si>
    <t>---</t>
  </si>
  <si>
    <t>Tasmanian Oak</t>
  </si>
  <si>
    <t>Walnut</t>
  </si>
  <si>
    <t>Spotted Gum</t>
  </si>
  <si>
    <t>CUSTOM FRONTS</t>
  </si>
  <si>
    <t>Height, mm</t>
  </si>
  <si>
    <t>Width, mm</t>
  </si>
  <si>
    <t>Custom Price per sqm</t>
  </si>
  <si>
    <t>Finish Price per sqm</t>
  </si>
  <si>
    <t>Finish Price Edges per lineal meter</t>
  </si>
  <si>
    <t>Notes</t>
  </si>
  <si>
    <t>30mm Natural Plywood Counter Top</t>
  </si>
  <si>
    <t>30mm Laminated Plywood Counter Top</t>
  </si>
  <si>
    <t>30mm Linoleum Surfaced Plywood Counter Top</t>
  </si>
  <si>
    <t>30mm Matte Laminated Plywood Counter Top</t>
  </si>
  <si>
    <t>30mm Flat Laminate Colour Plywood Counter Top</t>
  </si>
  <si>
    <t>30mm Veneer on Plywood Counter Top</t>
  </si>
  <si>
    <t>MDF Birch Veneer</t>
  </si>
  <si>
    <t>MDF Laminated</t>
  </si>
  <si>
    <t>(Edged, no need for finishing)</t>
  </si>
  <si>
    <t>MDF Linoleum Surfaced</t>
  </si>
  <si>
    <t>MDF Matte Laminated</t>
  </si>
  <si>
    <t>MDF Flat Laminate</t>
  </si>
  <si>
    <t>MDF Veneer</t>
  </si>
  <si>
    <t>CUSTOM PRICING</t>
  </si>
  <si>
    <t>sqm</t>
  </si>
  <si>
    <t>edge</t>
  </si>
  <si>
    <t>total</t>
  </si>
  <si>
    <t>Lineal m</t>
  </si>
  <si>
    <t>30mm bench top</t>
  </si>
  <si>
    <t>MDF</t>
  </si>
  <si>
    <t>18mmCounterTop</t>
  </si>
  <si>
    <t>30mmCounterTop</t>
  </si>
  <si>
    <t>Cabinet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</si>
</sst>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venir Light"/>
      <family val="2"/>
    </font>
    <font>
      <sz val="11"/>
      <color theme="1"/>
      <name val="Avenir Light"/>
      <family val="2"/>
    </font>
    <font>
      <sz val="11"/>
      <color theme="1"/>
      <name val="Avenir Light"/>
      <family val="2"/>
    </font>
    <font>
      <sz val="11"/>
      <color theme="1"/>
      <name val="Calibri"/>
      <family val="2"/>
      <scheme val="minor"/>
    </font>
    <font>
      <sz val="11"/>
      <color theme="1"/>
      <name val="Avenir Light"/>
      <family val="2"/>
    </font>
    <font>
      <sz val="18"/>
      <color theme="1"/>
      <name val="Avenir Light"/>
      <family val="2"/>
    </font>
    <font>
      <b/>
      <sz val="22"/>
      <color theme="1"/>
      <name val="Avenir Light"/>
      <family val="2"/>
    </font>
    <font>
      <sz val="12"/>
      <color theme="1"/>
      <name val="Avenir Light"/>
      <family val="2"/>
    </font>
    <font>
      <sz val="22"/>
      <color theme="1"/>
      <name val="Avenir Light"/>
      <family val="2"/>
    </font>
    <font>
      <b/>
      <sz val="12"/>
      <color theme="1"/>
      <name val="Avenir Light"/>
      <family val="2"/>
    </font>
    <font>
      <sz val="8"/>
      <color theme="1"/>
      <name val="Avenir Light"/>
      <family val="2"/>
    </font>
    <font>
      <b/>
      <sz val="10"/>
      <color theme="1"/>
      <name val="Avenir Light"/>
      <family val="2"/>
    </font>
    <font>
      <sz val="11"/>
      <color theme="0"/>
      <name val="Avenir Light"/>
      <family val="2"/>
    </font>
    <font>
      <sz val="10"/>
      <color theme="1"/>
      <name val="Avenir Light"/>
      <family val="2"/>
    </font>
    <font>
      <sz val="11"/>
      <color theme="1"/>
      <name val="Avenir Light"/>
      <family val="2"/>
    </font>
    <font>
      <sz val="10"/>
      <color rgb="FFFF0000"/>
      <name val="Avenir Light"/>
      <family val="2"/>
    </font>
    <font>
      <sz val="11"/>
      <color theme="1"/>
      <name val="Avenir Light"/>
      <family val="2"/>
    </font>
    <font>
      <b/>
      <sz val="11"/>
      <color theme="0"/>
      <name val="Avenir Light"/>
      <family val="2"/>
    </font>
    <font>
      <b/>
      <sz val="11"/>
      <color theme="1"/>
      <name val="Avenir Light"/>
      <family val="2"/>
    </font>
    <font>
      <sz val="11"/>
      <color theme="0"/>
      <name val="Calibri"/>
      <family val="2"/>
      <scheme val="minor"/>
    </font>
    <font>
      <b/>
      <sz val="10"/>
      <color theme="1"/>
      <name val="Avenir Light"/>
      <family val="2"/>
    </font>
    <font>
      <sz val="10"/>
      <color theme="0"/>
      <name val="Avenir Light"/>
      <family val="2"/>
    </font>
    <font>
      <b/>
      <sz val="11"/>
      <color theme="1"/>
      <name val="Avenir Light"/>
      <family val="2"/>
    </font>
    <font>
      <sz val="8"/>
      <color rgb="FFFF0000"/>
      <name val="Avenir Light"/>
      <family val="2"/>
    </font>
    <font>
      <sz val="11"/>
      <color theme="1"/>
      <name val="Avenir Light"/>
      <family val="2"/>
    </font>
    <font>
      <sz val="12"/>
      <color rgb="FFFF0000"/>
      <name val="Avenir Light"/>
      <family val="2"/>
    </font>
    <font>
      <sz val="8"/>
      <color theme="0"/>
      <name val="Avenir Light"/>
      <family val="2"/>
    </font>
    <font>
      <sz val="11"/>
      <color theme="1"/>
      <name val="Avenir Light"/>
      <family val="2"/>
    </font>
    <font>
      <b/>
      <sz val="11"/>
      <color theme="0"/>
      <name val="Avenir Light"/>
      <family val="2"/>
    </font>
    <font>
      <sz val="11"/>
      <name val="Avenir Ligh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8C4B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 applyAlignment="1">
      <alignment horizontal="center"/>
    </xf>
    <xf numFmtId="44" fontId="5" fillId="0" borderId="0" xfId="1" applyFont="1"/>
    <xf numFmtId="0" fontId="5" fillId="0" borderId="0" xfId="0" applyFont="1"/>
    <xf numFmtId="0" fontId="5" fillId="0" borderId="0" xfId="0" applyFont="1" applyAlignment="1">
      <alignment horizontal="left"/>
    </xf>
    <xf numFmtId="44" fontId="5" fillId="0" borderId="0" xfId="1" applyFont="1" applyAlignment="1">
      <alignment vertical="center"/>
    </xf>
    <xf numFmtId="0" fontId="6" fillId="0" borderId="0" xfId="0" applyFo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/>
    </xf>
    <xf numFmtId="44" fontId="5" fillId="0" borderId="0" xfId="1" applyNumberFormat="1" applyFont="1" applyFill="1" applyBorder="1"/>
    <xf numFmtId="0" fontId="7" fillId="0" borderId="0" xfId="0" applyFont="1"/>
    <xf numFmtId="14" fontId="5" fillId="0" borderId="0" xfId="0" applyNumberFormat="1" applyFont="1"/>
    <xf numFmtId="14" fontId="8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left" vertical="top"/>
    </xf>
    <xf numFmtId="14" fontId="5" fillId="2" borderId="4" xfId="0" applyNumberFormat="1" applyFont="1" applyFill="1" applyBorder="1" applyAlignment="1">
      <alignment horizontal="left" vertical="top"/>
    </xf>
    <xf numFmtId="14" fontId="5" fillId="2" borderId="5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right"/>
    </xf>
    <xf numFmtId="44" fontId="8" fillId="0" borderId="0" xfId="0" applyNumberFormat="1" applyFont="1"/>
    <xf numFmtId="0" fontId="0" fillId="0" borderId="0" xfId="0" applyAlignment="1">
      <alignment horizontal="left" vertical="top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3" fillId="0" borderId="0" xfId="0" applyFont="1" applyFill="1"/>
    <xf numFmtId="0" fontId="14" fillId="0" borderId="12" xfId="0" applyFont="1" applyBorder="1"/>
    <xf numFmtId="0" fontId="0" fillId="0" borderId="0" xfId="0" applyAlignment="1">
      <alignment vertical="top" wrapText="1"/>
    </xf>
    <xf numFmtId="0" fontId="14" fillId="3" borderId="12" xfId="0" applyFont="1" applyFill="1" applyBorder="1" applyAlignment="1" applyProtection="1">
      <alignment horizontal="center"/>
      <protection locked="0"/>
    </xf>
    <xf numFmtId="44" fontId="5" fillId="0" borderId="0" xfId="0" applyNumberFormat="1" applyFont="1"/>
    <xf numFmtId="0" fontId="5" fillId="0" borderId="0" xfId="0" applyNumberFormat="1" applyFont="1"/>
    <xf numFmtId="0" fontId="15" fillId="0" borderId="0" xfId="0" applyNumberFormat="1" applyFont="1" applyFill="1"/>
    <xf numFmtId="0" fontId="3" fillId="0" borderId="0" xfId="0" applyNumberFormat="1" applyFont="1"/>
    <xf numFmtId="44" fontId="3" fillId="0" borderId="0" xfId="1" applyFont="1"/>
    <xf numFmtId="0" fontId="16" fillId="0" borderId="0" xfId="0" applyFont="1" applyAlignment="1">
      <alignment horizontal="left" vertical="center" wrapText="1"/>
    </xf>
    <xf numFmtId="0" fontId="5" fillId="0" borderId="0" xfId="0" applyFont="1" applyProtection="1"/>
    <xf numFmtId="0" fontId="2" fillId="0" borderId="0" xfId="0" applyNumberFormat="1" applyFont="1"/>
    <xf numFmtId="44" fontId="2" fillId="0" borderId="0" xfId="1" applyFont="1"/>
    <xf numFmtId="0" fontId="1" fillId="0" borderId="0" xfId="0" applyNumberFormat="1" applyFont="1"/>
    <xf numFmtId="44" fontId="1" fillId="0" borderId="0" xfId="1" applyNumberFormat="1" applyFont="1"/>
    <xf numFmtId="0" fontId="17" fillId="0" borderId="0" xfId="0" applyNumberFormat="1" applyFont="1" applyFill="1"/>
    <xf numFmtId="0" fontId="19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9" fillId="0" borderId="0" xfId="0" applyFont="1" applyFill="1" applyBorder="1" applyAlignment="1">
      <alignment wrapText="1"/>
    </xf>
    <xf numFmtId="44" fontId="1" fillId="0" borderId="0" xfId="1" applyFont="1" applyFill="1"/>
    <xf numFmtId="0" fontId="1" fillId="0" borderId="13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44" fontId="1" fillId="0" borderId="14" xfId="1" applyNumberFormat="1" applyFont="1" applyFill="1" applyBorder="1"/>
    <xf numFmtId="44" fontId="1" fillId="0" borderId="15" xfId="1" applyNumberFormat="1" applyFont="1" applyFill="1" applyBorder="1"/>
    <xf numFmtId="0" fontId="1" fillId="0" borderId="16" xfId="0" applyFont="1" applyFill="1" applyBorder="1"/>
    <xf numFmtId="44" fontId="1" fillId="0" borderId="16" xfId="1" applyNumberFormat="1" applyFont="1" applyFill="1" applyBorder="1"/>
    <xf numFmtId="44" fontId="1" fillId="0" borderId="17" xfId="1" applyNumberFormat="1" applyFont="1" applyFill="1" applyBorder="1"/>
    <xf numFmtId="0" fontId="19" fillId="0" borderId="0" xfId="0" applyFont="1" applyFill="1"/>
    <xf numFmtId="0" fontId="18" fillId="0" borderId="18" xfId="0" applyFont="1" applyFill="1" applyBorder="1"/>
    <xf numFmtId="44" fontId="18" fillId="0" borderId="18" xfId="0" applyNumberFormat="1" applyFont="1" applyFill="1" applyBorder="1"/>
    <xf numFmtId="0" fontId="1" fillId="0" borderId="15" xfId="0" applyFont="1" applyFill="1" applyBorder="1"/>
    <xf numFmtId="0" fontId="1" fillId="0" borderId="0" xfId="0" applyNumberFormat="1" applyFont="1" applyFill="1" applyBorder="1"/>
    <xf numFmtId="44" fontId="1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/>
    <xf numFmtId="44" fontId="21" fillId="0" borderId="0" xfId="1" applyFont="1" applyAlignment="1">
      <alignment vertical="center" wrapText="1"/>
    </xf>
    <xf numFmtId="44" fontId="21" fillId="0" borderId="0" xfId="1" applyFont="1" applyAlignment="1">
      <alignment horizontal="right" vertical="center" wrapText="1"/>
    </xf>
    <xf numFmtId="0" fontId="0" fillId="0" borderId="0" xfId="0" applyBorder="1"/>
    <xf numFmtId="44" fontId="5" fillId="0" borderId="0" xfId="0" applyNumberFormat="1" applyFont="1" applyFill="1"/>
    <xf numFmtId="44" fontId="1" fillId="0" borderId="0" xfId="1" applyFont="1"/>
    <xf numFmtId="44" fontId="17" fillId="0" borderId="0" xfId="1" applyFont="1" applyFill="1"/>
    <xf numFmtId="44" fontId="17" fillId="0" borderId="0" xfId="1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vertical="top" wrapText="1"/>
    </xf>
    <xf numFmtId="44" fontId="1" fillId="0" borderId="0" xfId="1" applyFont="1" applyFill="1" applyAlignment="1">
      <alignment horizontal="center"/>
    </xf>
    <xf numFmtId="0" fontId="17" fillId="0" borderId="0" xfId="0" applyFont="1" applyFill="1"/>
    <xf numFmtId="0" fontId="1" fillId="0" borderId="0" xfId="0" applyFont="1" applyAlignment="1">
      <alignment horizontal="center"/>
    </xf>
    <xf numFmtId="0" fontId="23" fillId="0" borderId="0" xfId="0" applyNumberFormat="1" applyFont="1"/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/>
    <xf numFmtId="0" fontId="1" fillId="0" borderId="0" xfId="0" quotePrefix="1" applyFont="1" applyAlignment="1">
      <alignment horizontal="center"/>
    </xf>
    <xf numFmtId="0" fontId="1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1" fillId="0" borderId="0" xfId="1" applyNumberFormat="1" applyFont="1" applyFill="1" applyBorder="1" applyAlignment="1"/>
    <xf numFmtId="0" fontId="22" fillId="0" borderId="0" xfId="0" applyFont="1" applyFill="1" applyBorder="1"/>
    <xf numFmtId="0" fontId="0" fillId="0" borderId="0" xfId="0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center"/>
    </xf>
    <xf numFmtId="44" fontId="1" fillId="0" borderId="0" xfId="1" applyNumberFormat="1" applyFont="1" applyFill="1" applyBorder="1"/>
    <xf numFmtId="44" fontId="1" fillId="0" borderId="0" xfId="1" applyNumberFormat="1" applyFont="1" applyFill="1" applyAlignment="1"/>
    <xf numFmtId="0" fontId="1" fillId="0" borderId="0" xfId="0" applyFont="1" applyAlignment="1">
      <alignment vertical="center"/>
    </xf>
    <xf numFmtId="0" fontId="14" fillId="3" borderId="12" xfId="0" applyFont="1" applyFill="1" applyBorder="1" applyAlignment="1" applyProtection="1">
      <protection locked="0"/>
    </xf>
    <xf numFmtId="44" fontId="14" fillId="0" borderId="12" xfId="1" applyFont="1" applyBorder="1" applyAlignment="1"/>
    <xf numFmtId="0" fontId="5" fillId="0" borderId="0" xfId="1" applyNumberFormat="1" applyFont="1"/>
    <xf numFmtId="0" fontId="23" fillId="0" borderId="0" xfId="0" applyFont="1"/>
    <xf numFmtId="0" fontId="0" fillId="0" borderId="0" xfId="0" applyProtection="1">
      <protection locked="0"/>
    </xf>
    <xf numFmtId="0" fontId="17" fillId="0" borderId="15" xfId="0" applyFont="1" applyFill="1" applyBorder="1"/>
    <xf numFmtId="44" fontId="17" fillId="0" borderId="15" xfId="1" applyNumberFormat="1" applyFont="1" applyFill="1" applyBorder="1"/>
    <xf numFmtId="44" fontId="17" fillId="0" borderId="14" xfId="1" applyNumberFormat="1" applyFont="1" applyFill="1" applyBorder="1"/>
    <xf numFmtId="0" fontId="17" fillId="0" borderId="16" xfId="0" applyFont="1" applyFill="1" applyBorder="1"/>
    <xf numFmtId="44" fontId="17" fillId="0" borderId="16" xfId="1" applyNumberFormat="1" applyFont="1" applyFill="1" applyBorder="1"/>
    <xf numFmtId="44" fontId="17" fillId="0" borderId="17" xfId="1" applyNumberFormat="1" applyFont="1" applyFill="1" applyBorder="1"/>
    <xf numFmtId="44" fontId="5" fillId="0" borderId="0" xfId="0" applyNumberFormat="1" applyFont="1" applyFill="1" applyBorder="1"/>
    <xf numFmtId="44" fontId="24" fillId="0" borderId="0" xfId="1" applyFont="1" applyBorder="1" applyAlignment="1">
      <alignment horizontal="left" wrapText="1"/>
    </xf>
    <xf numFmtId="0" fontId="17" fillId="0" borderId="0" xfId="0" applyNumberFormat="1" applyFont="1"/>
    <xf numFmtId="44" fontId="17" fillId="0" borderId="0" xfId="1" applyNumberFormat="1" applyFont="1"/>
    <xf numFmtId="44" fontId="17" fillId="0" borderId="0" xfId="1" applyNumberFormat="1" applyFont="1" applyFill="1"/>
    <xf numFmtId="44" fontId="17" fillId="0" borderId="0" xfId="1" applyFont="1"/>
    <xf numFmtId="44" fontId="5" fillId="0" borderId="0" xfId="1" applyFont="1" applyAlignment="1">
      <alignment horizontal="center"/>
    </xf>
    <xf numFmtId="44" fontId="17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4" fontId="25" fillId="0" borderId="0" xfId="1" applyFont="1"/>
    <xf numFmtId="44" fontId="25" fillId="0" borderId="0" xfId="1" applyFont="1" applyAlignment="1">
      <alignment vertical="center"/>
    </xf>
    <xf numFmtId="0" fontId="27" fillId="0" borderId="0" xfId="0" applyFont="1" applyAlignment="1">
      <alignment horizontal="left" vertical="center"/>
    </xf>
    <xf numFmtId="44" fontId="25" fillId="0" borderId="0" xfId="1" applyNumberFormat="1" applyFont="1" applyFill="1" applyBorder="1" applyAlignment="1">
      <alignment horizontal="center"/>
    </xf>
    <xf numFmtId="0" fontId="25" fillId="0" borderId="0" xfId="0" applyNumberFormat="1" applyFont="1" applyFill="1" applyBorder="1"/>
    <xf numFmtId="44" fontId="25" fillId="0" borderId="0" xfId="1" applyNumberFormat="1" applyFont="1"/>
    <xf numFmtId="44" fontId="25" fillId="0" borderId="0" xfId="1" applyNumberFormat="1" applyFont="1" applyAlignment="1">
      <alignment horizontal="center"/>
    </xf>
    <xf numFmtId="44" fontId="14" fillId="0" borderId="12" xfId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/>
    <xf numFmtId="44" fontId="28" fillId="0" borderId="0" xfId="1" applyNumberFormat="1" applyFont="1" applyFill="1"/>
    <xf numFmtId="44" fontId="1" fillId="0" borderId="0" xfId="1" applyNumberFormat="1" applyFont="1" applyAlignment="1">
      <alignment horizontal="center"/>
    </xf>
    <xf numFmtId="44" fontId="1" fillId="0" borderId="0" xfId="1" applyFont="1" applyAlignment="1">
      <alignment vertical="center"/>
    </xf>
    <xf numFmtId="44" fontId="20" fillId="0" borderId="0" xfId="0" applyNumberFormat="1" applyFont="1" applyAlignment="1">
      <alignment horizontal="left" vertical="top"/>
    </xf>
    <xf numFmtId="44" fontId="27" fillId="0" borderId="0" xfId="1" applyFont="1" applyAlignment="1">
      <alignment horizontal="left" vertical="center"/>
    </xf>
    <xf numFmtId="44" fontId="20" fillId="0" borderId="0" xfId="1" applyFont="1" applyAlignment="1">
      <alignment horizontal="left" vertical="top"/>
    </xf>
    <xf numFmtId="0" fontId="28" fillId="0" borderId="0" xfId="0" applyNumberFormat="1" applyFont="1" applyFill="1"/>
    <xf numFmtId="44" fontId="28" fillId="0" borderId="0" xfId="1" applyFont="1" applyFill="1"/>
    <xf numFmtId="0" fontId="1" fillId="0" borderId="0" xfId="0" applyNumberFormat="1" applyFont="1" applyFill="1"/>
    <xf numFmtId="0" fontId="28" fillId="0" borderId="0" xfId="0" applyNumberFormat="1" applyFont="1"/>
    <xf numFmtId="44" fontId="28" fillId="0" borderId="0" xfId="1" applyNumberFormat="1" applyFont="1"/>
    <xf numFmtId="44" fontId="28" fillId="0" borderId="0" xfId="1" applyNumberFormat="1" applyFont="1" applyAlignment="1">
      <alignment horizontal="center"/>
    </xf>
    <xf numFmtId="0" fontId="28" fillId="0" borderId="0" xfId="0" applyFont="1" applyFill="1"/>
    <xf numFmtId="44" fontId="29" fillId="0" borderId="18" xfId="1" applyNumberFormat="1" applyFont="1" applyFill="1" applyBorder="1"/>
    <xf numFmtId="44" fontId="28" fillId="0" borderId="0" xfId="1" applyFont="1"/>
    <xf numFmtId="0" fontId="28" fillId="0" borderId="0" xfId="1" applyNumberFormat="1" applyFont="1" applyFill="1"/>
    <xf numFmtId="44" fontId="28" fillId="0" borderId="0" xfId="1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44" fontId="19" fillId="0" borderId="0" xfId="1" applyFont="1"/>
    <xf numFmtId="44" fontId="1" fillId="0" borderId="0" xfId="1" quotePrefix="1" applyFont="1"/>
    <xf numFmtId="0" fontId="14" fillId="3" borderId="12" xfId="0" applyFont="1" applyFill="1" applyBorder="1" applyAlignment="1" applyProtection="1">
      <alignment vertical="top" wrapText="1"/>
      <protection locked="0"/>
    </xf>
    <xf numFmtId="0" fontId="14" fillId="3" borderId="12" xfId="0" applyFont="1" applyFill="1" applyBorder="1" applyProtection="1">
      <protection locked="0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 horizontal="left" vertical="center"/>
    </xf>
    <xf numFmtId="0" fontId="31" fillId="0" borderId="0" xfId="0" applyFont="1"/>
    <xf numFmtId="44" fontId="2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14" fillId="3" borderId="19" xfId="0" applyFont="1" applyFill="1" applyBorder="1" applyAlignment="1" applyProtection="1">
      <protection locked="0"/>
    </xf>
    <xf numFmtId="0" fontId="14" fillId="3" borderId="19" xfId="0" applyFont="1" applyFill="1" applyBorder="1" applyAlignment="1" applyProtection="1">
      <alignment horizontal="center"/>
      <protection locked="0"/>
    </xf>
    <xf numFmtId="44" fontId="14" fillId="0" borderId="19" xfId="1" applyFont="1" applyBorder="1" applyAlignment="1">
      <alignment horizontal="center"/>
    </xf>
    <xf numFmtId="44" fontId="14" fillId="0" borderId="19" xfId="1" applyFont="1" applyBorder="1" applyAlignment="1"/>
    <xf numFmtId="0" fontId="14" fillId="0" borderId="20" xfId="0" applyFont="1" applyFill="1" applyBorder="1" applyAlignment="1" applyProtection="1">
      <alignment horizontal="left"/>
      <protection locked="0"/>
    </xf>
    <xf numFmtId="44" fontId="14" fillId="0" borderId="20" xfId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44" fontId="19" fillId="0" borderId="0" xfId="0" applyNumberFormat="1" applyFont="1" applyAlignment="1">
      <alignment horizontal="left" vertical="center"/>
    </xf>
    <xf numFmtId="44" fontId="1" fillId="0" borderId="0" xfId="0" applyNumberFormat="1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/>
    </xf>
    <xf numFmtId="44" fontId="1" fillId="0" borderId="0" xfId="1" applyFont="1" applyAlignment="1">
      <alignment horizontal="left" vertical="center"/>
    </xf>
    <xf numFmtId="0" fontId="1" fillId="0" borderId="13" xfId="0" applyFont="1" applyBorder="1" applyAlignment="1">
      <alignment horizontal="left"/>
    </xf>
    <xf numFmtId="44" fontId="1" fillId="0" borderId="0" xfId="1" applyFont="1" applyAlignment="1">
      <alignment horizontal="center"/>
    </xf>
    <xf numFmtId="44" fontId="1" fillId="0" borderId="0" xfId="1" applyFont="1" applyAlignment="1">
      <alignment horizontal="left"/>
    </xf>
    <xf numFmtId="0" fontId="6" fillId="0" borderId="0" xfId="0" applyFont="1" applyFill="1"/>
    <xf numFmtId="44" fontId="14" fillId="0" borderId="12" xfId="1" applyFont="1" applyBorder="1"/>
    <xf numFmtId="0" fontId="22" fillId="0" borderId="0" xfId="0" applyFont="1"/>
    <xf numFmtId="0" fontId="14" fillId="3" borderId="1" xfId="0" applyFont="1" applyFill="1" applyBorder="1" applyAlignment="1" applyProtection="1">
      <protection locked="0"/>
    </xf>
    <xf numFmtId="0" fontId="14" fillId="3" borderId="3" xfId="0" applyFont="1" applyFill="1" applyBorder="1" applyAlignment="1" applyProtection="1">
      <protection locked="0"/>
    </xf>
    <xf numFmtId="0" fontId="12" fillId="0" borderId="6" xfId="0" applyFont="1" applyFill="1" applyBorder="1" applyAlignment="1" applyProtection="1">
      <alignment horizontal="left" vertical="center" indent="2"/>
      <protection locked="0"/>
    </xf>
    <xf numFmtId="0" fontId="12" fillId="0" borderId="5" xfId="0" applyFont="1" applyFill="1" applyBorder="1" applyAlignment="1" applyProtection="1">
      <alignment horizontal="left" vertical="center" indent="2"/>
      <protection locked="0"/>
    </xf>
    <xf numFmtId="0" fontId="12" fillId="0" borderId="10" xfId="0" applyFont="1" applyFill="1" applyBorder="1" applyAlignment="1" applyProtection="1">
      <alignment horizontal="left" vertical="center" indent="2"/>
      <protection locked="0"/>
    </xf>
    <xf numFmtId="0" fontId="12" fillId="0" borderId="11" xfId="0" applyFont="1" applyFill="1" applyBorder="1" applyAlignment="1" applyProtection="1">
      <alignment horizontal="left" vertical="center" indent="2"/>
      <protection locked="0"/>
    </xf>
    <xf numFmtId="0" fontId="14" fillId="0" borderId="1" xfId="0" applyFont="1" applyBorder="1"/>
    <xf numFmtId="0" fontId="14" fillId="0" borderId="3" xfId="0" applyFont="1" applyBorder="1"/>
    <xf numFmtId="0" fontId="14" fillId="3" borderId="1" xfId="0" applyFont="1" applyFill="1" applyBorder="1" applyAlignment="1" applyProtection="1">
      <alignment vertical="top" wrapText="1"/>
      <protection locked="0"/>
    </xf>
    <xf numFmtId="0" fontId="14" fillId="3" borderId="3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left" vertical="top"/>
      <protection locked="0"/>
    </xf>
    <xf numFmtId="14" fontId="5" fillId="3" borderId="7" xfId="0" applyNumberFormat="1" applyFont="1" applyFill="1" applyBorder="1" applyAlignment="1" applyProtection="1">
      <alignment vertical="top"/>
      <protection locked="0"/>
    </xf>
    <xf numFmtId="14" fontId="5" fillId="3" borderId="8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1" fillId="3" borderId="4" xfId="0" applyFont="1" applyFill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14" fontId="5" fillId="3" borderId="4" xfId="0" applyNumberFormat="1" applyFont="1" applyFill="1" applyBorder="1" applyAlignment="1" applyProtection="1">
      <alignment vertical="top"/>
      <protection locked="0"/>
    </xf>
    <xf numFmtId="14" fontId="5" fillId="3" borderId="5" xfId="0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14" fontId="5" fillId="3" borderId="9" xfId="0" applyNumberFormat="1" applyFont="1" applyFill="1" applyBorder="1" applyAlignment="1" applyProtection="1">
      <alignment vertical="top"/>
      <protection locked="0"/>
    </xf>
    <xf numFmtId="14" fontId="5" fillId="3" borderId="11" xfId="0" applyNumberFormat="1" applyFont="1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14" fillId="3" borderId="4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protection locked="0"/>
    </xf>
    <xf numFmtId="0" fontId="0" fillId="0" borderId="20" xfId="0" applyBorder="1"/>
    <xf numFmtId="0" fontId="0" fillId="0" borderId="4" xfId="0" applyBorder="1"/>
    <xf numFmtId="0" fontId="0" fillId="0" borderId="9" xfId="0" applyBorder="1"/>
    <xf numFmtId="0" fontId="0" fillId="0" borderId="12" xfId="0" applyBorder="1" applyProtection="1">
      <protection hidden="1"/>
    </xf>
  </cellXfs>
  <cellStyles count="2">
    <cellStyle name="Currency" xfId="1" builtinId="4"/>
    <cellStyle name="Normal" xfId="0" builtinId="0"/>
  </cellStyles>
  <dxfs count="178">
    <dxf>
      <fill>
        <patternFill>
          <bgColor rgb="FFA8C4BF"/>
        </patternFill>
      </fill>
    </dxf>
    <dxf>
      <fill>
        <patternFill>
          <bgColor rgb="FFFF7C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family val="2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venir Light"/>
        <scheme val="none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Light"/>
        <scheme val="none"/>
      </font>
    </dxf>
  </dxfs>
  <tableStyles count="0" defaultTableStyle="TableStyleMedium2" defaultPivotStyle="PivotStyleLight16"/>
  <colors>
    <mruColors>
      <color rgb="FFFF7C80"/>
      <color rgb="FFA8C4BF"/>
      <color rgb="FF89B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theme" Target="theme/theme1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676275</xdr:colOff>
      <xdr:row>1</xdr:row>
      <xdr:rowOff>432643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1"/>
          <a:ext cx="1857375" cy="4326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676275</xdr:colOff>
      <xdr:row>1</xdr:row>
      <xdr:rowOff>432643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1"/>
          <a:ext cx="1857375" cy="4326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0000000}" name="Designs" displayName="Designs" ref="B166:G172" totalsRowShown="0" headerRowDxfId="177" dataDxfId="176">
  <autoFilter ref="B166:G172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7" xr3:uid="{00000000-0010-0000-0000-000011000000}" name="Designs" dataDxfId="175"/>
    <tableColumn id="18" xr3:uid="{00000000-0010-0000-0000-000012000000}" name="Design Column" dataDxfId="174"/>
    <tableColumn id="1" xr3:uid="{FC7D22F1-0CFD-41BA-A3C3-572AB927F32E}" name="Minimum order" dataDxfId="173" dataCellStyle="Currency"/>
    <tableColumn id="2" xr3:uid="{587F0FDD-A885-49F8-BA12-C0C23158FDAA}" name="Minimum order finished" dataDxfId="172" dataCellStyle="Currency"/>
    <tableColumn id="3" xr3:uid="{13AB1E4A-B500-4C4F-BF6F-54013D1F6B4E}" name="5% Discount" dataDxfId="171"/>
    <tableColumn id="4" xr3:uid="{CCD3CA3C-CB3C-4C42-B060-7ED168530749}" name="10% Discount" dataDxfId="17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A000000}" name="FillerLookup" displayName="FillerLookup" ref="B91:K98" totalsRowShown="0" headerRowDxfId="88" dataDxfId="87" dataCellStyle="Currency">
  <autoFilter ref="B91:K98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A00-000001000000}" name="Fillers" dataDxfId="86"/>
    <tableColumn id="2" xr3:uid="{00000000-0010-0000-0A00-000002000000}" name="Natural Plywood" dataDxfId="85" dataCellStyle="Currency"/>
    <tableColumn id="3" xr3:uid="{00000000-0010-0000-0A00-000003000000}" name="Laminated Plywood" dataDxfId="84" dataCellStyle="Currency"/>
    <tableColumn id="4" xr3:uid="{00000000-0010-0000-0A00-000004000000}" name="Linoleum Surfaced Plywood" dataDxfId="83" dataCellStyle="Currency"/>
    <tableColumn id="7" xr3:uid="{A5A8C981-CBB5-4972-ABA7-82656AB66CE2}" name="Matte Laminated Plywood" dataDxfId="82" dataCellStyle="Currency"/>
    <tableColumn id="8" xr3:uid="{BDD759D7-1078-4BE3-98B1-5D77EB245A7A}" name="Flat Laminex Colour" dataDxfId="81" dataCellStyle="Currency"/>
    <tableColumn id="5" xr3:uid="{00000000-0010-0000-0A00-000005000000}" name="Veneer on Plywood" dataDxfId="80" dataCellStyle="Currency"/>
    <tableColumn id="6" xr3:uid="{00000000-0010-0000-0A00-000006000000}" name="Finish Whole Panel Price" dataDxfId="79" dataCellStyle="Currency"/>
    <tableColumn id="9" xr3:uid="{0FC1D23D-F2A4-4F6B-A0B2-072CE7470294}" name="Laminate Edges Finish Price" dataDxfId="78" dataCellStyle="Currency"/>
    <tableColumn id="10" xr3:uid="{C1F4C176-71E9-4CD2-82AB-EC351E5AF97E}" name="Linoleum Edge Finish Price" dataDxfId="77" dataCellStyle="Currency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B000000}" name="CounterTopLookup" displayName="CounterTopLookup" ref="B100:K105" totalsRowShown="0" headerRowDxfId="76" dataDxfId="75" dataCellStyle="Currency">
  <autoFilter ref="B100:K105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B00-000001000000}" name="CounterTop" dataDxfId="74"/>
    <tableColumn id="2" xr3:uid="{00000000-0010-0000-0B00-000002000000}" name="Natural Plywood" dataDxfId="73" dataCellStyle="Currency"/>
    <tableColumn id="3" xr3:uid="{00000000-0010-0000-0B00-000003000000}" name="Laminated Plywood" dataDxfId="72" dataCellStyle="Currency"/>
    <tableColumn id="4" xr3:uid="{00000000-0010-0000-0B00-000004000000}" name="Linoleum Surfaced Plywood" dataDxfId="71" dataCellStyle="Currency"/>
    <tableColumn id="7" xr3:uid="{4047A85F-0DC0-40E2-9767-766190645EE6}" name="Matte Laminated Plywood"/>
    <tableColumn id="8" xr3:uid="{583D0CBC-917B-4BD2-9666-74D0716E7C36}" name="Flat Laminex Colour"/>
    <tableColumn id="5" xr3:uid="{00000000-0010-0000-0B00-000005000000}" name="Veneer on Plywood" dataDxfId="70" dataCellStyle="Currency"/>
    <tableColumn id="6" xr3:uid="{00000000-0010-0000-0B00-000006000000}" name="Finish Whole Panel Price" dataDxfId="69" dataCellStyle="Currency"/>
    <tableColumn id="9" xr3:uid="{CD698EAC-0EC5-4371-A5B7-1444DCB066F1}" name="Laminate Edges Finish Price" dataDxfId="68" dataCellStyle="Currency"/>
    <tableColumn id="10" xr3:uid="{016A644A-71CB-4852-80F3-F8DCD1BB2023}" name="Linoleum Edge Finish Price" dataDxfId="67" dataCellStyle="Currency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C000000}" name="HandleLookup" displayName="HandleLookup" ref="B123:D129" totalsRowShown="0" headerRowDxfId="66" dataDxfId="65">
  <autoFilter ref="B123:D129" xr:uid="{00000000-0009-0000-0100-00001A000000}">
    <filterColumn colId="0" hiddenButton="1"/>
    <filterColumn colId="1" hiddenButton="1"/>
    <filterColumn colId="2" hiddenButton="1"/>
  </autoFilter>
  <tableColumns count="3">
    <tableColumn id="1" xr3:uid="{00000000-0010-0000-0C00-000001000000}" name="Handles" dataDxfId="64"/>
    <tableColumn id="2" xr3:uid="{00000000-0010-0000-0C00-000002000000}" name="Price" dataDxfId="63" dataCellStyle="Currency"/>
    <tableColumn id="3" xr3:uid="{C4514D60-F329-4F12-8208-8C295799AE28}" name="Finish" dataDxfId="62" dataCellStyle="Currency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D000000}" name="Table12" displayName="Table12" ref="B178:B187" totalsRowShown="0" headerRowDxfId="61" dataDxfId="60">
  <autoFilter ref="B178:B187" xr:uid="{00000000-0009-0000-0100-00001C000000}"/>
  <tableColumns count="1">
    <tableColumn id="1" xr3:uid="{00000000-0010-0000-0D00-000001000000}" name="Handle Position" dataDxfId="5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E000000}" name="Table9" displayName="Table9" ref="B189:B193" totalsRowShown="0" headerRowDxfId="58" dataDxfId="57">
  <autoFilter ref="B189:B193" xr:uid="{00000000-0009-0000-0100-00001D000000}"/>
  <tableColumns count="1">
    <tableColumn id="1" xr3:uid="{00000000-0010-0000-0E00-000001000000}" name="Hinging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1BF617-5E60-46EE-919B-718F97E979AD}" name="Table2" displayName="Table2" ref="B195:E217" totalsRowShown="0">
  <autoFilter ref="B195:E217" xr:uid="{CB5B5240-DEB4-4ADB-A7D4-963E39C65C5D}"/>
  <tableColumns count="4">
    <tableColumn id="1" xr3:uid="{94AC5774-17A8-4175-94D0-C29FB6F08130}" name="Colour" dataDxfId="55"/>
    <tableColumn id="2" xr3:uid="{E484C906-68C2-4079-A2CE-4B7BE14083F7}" name="-" dataDxfId="54"/>
    <tableColumn id="3" xr3:uid="{29D87393-2399-4E36-A9CF-5610434E531D}" name="--" dataDxfId="53"/>
    <tableColumn id="4" xr3:uid="{59234DE9-79AB-4190-B518-996AE9C88B51}" name="---" dataDxfId="52" dataCellStyle="Currency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E8F299-20B4-43E1-91C5-F4FED13C892F}" name="MDFDoorLookup" displayName="MDFDoorLookup" ref="B107:K117" totalsRowShown="0" headerRowDxfId="12" dataDxfId="11" headerRowCellStyle="Currency" dataCellStyle="Currency">
  <autoFilter ref="B107:K117" xr:uid="{34D25BFD-EBF6-44DB-8975-DA82041A3A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10">
    <tableColumn id="1" xr3:uid="{13344F71-E54D-4292-BF6A-29B38496F28B}" name="MDF Doors" dataDxfId="51"/>
    <tableColumn id="2" xr3:uid="{9491E935-78E6-4FC8-AF2E-53A93D3BBAEA}" name="Natural Plywood" dataDxfId="10" dataCellStyle="Currency"/>
    <tableColumn id="3" xr3:uid="{7BC7F77D-0BEF-41D3-8642-1F6468BC7D64}" name="Laminated" dataDxfId="9" dataCellStyle="Currency"/>
    <tableColumn id="4" xr3:uid="{57B8F468-1CAC-4EF3-8940-BACAD1F62CC1}" name="Linoleum" dataDxfId="8" dataCellStyle="Currency"/>
    <tableColumn id="5" xr3:uid="{AA33FD2C-AAE1-4BF8-8DA2-AB81029917E5}" name="Matte Laminated Plywood" dataDxfId="7" dataCellStyle="Currency"/>
    <tableColumn id="7" xr3:uid="{6DEAEED2-BBCF-4979-82B8-A3A6A902489E}" name="Flat Laminex Colour" dataDxfId="6" dataCellStyle="Currency"/>
    <tableColumn id="6" xr3:uid="{72588B8D-5357-49A1-A9AE-73E792DE5011}" name="Veneer on Plywood" dataDxfId="5" dataCellStyle="Currency"/>
    <tableColumn id="8" xr3:uid="{C81249F3-5D20-446B-A90E-B5C828EC671D}" name="Finish Whole Panel Price" dataDxfId="4" dataCellStyle="Currency"/>
    <tableColumn id="9" xr3:uid="{B076655A-269D-4AE0-A697-C60737D578F1}" name="Laminate Edges Finish Price" dataDxfId="3" dataCellStyle="Currency"/>
    <tableColumn id="10" xr3:uid="{97616A7A-E08C-49B6-B8BB-389825B6E283}" name="Linoleum Edge Finish Price" dataDxfId="2" dataCellStyle="Currency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B72EC-AEEC-4CE2-B82F-0D7E06DFDB53}" name="PAXDoorLookup" displayName="PAXDoorLookup" ref="B119:K121" totalsRowShown="0" headerRowDxfId="50" dataDxfId="49" headerRowCellStyle="Currency" dataCellStyle="Currency">
  <autoFilter ref="B119:K121" xr:uid="{FEAD0495-B642-4836-9FFA-F23D494BA78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13AAE6E-6BA7-4538-B499-AF424CA526DF}" name="PAX MDF Doors" dataDxfId="48"/>
    <tableColumn id="2" xr3:uid="{3F116930-A9F1-4863-99EA-E559D401C634}" name="Natural Birch Veneer" dataDxfId="47" dataCellStyle="Currency"/>
    <tableColumn id="3" xr3:uid="{29A8DD14-687C-4382-BED1-77824FCBDF67}" name="Laminated" dataDxfId="46" dataCellStyle="Currency"/>
    <tableColumn id="4" xr3:uid="{39E942B7-CAD8-4FE7-A9D8-AD49F79CC60E}" name="Linoleum" dataDxfId="45" dataCellStyle="Currency"/>
    <tableColumn id="5" xr3:uid="{40E388B8-17AC-4798-873E-38577DE467AD}" name="Matte Laminated" dataDxfId="44" dataCellStyle="Currency"/>
    <tableColumn id="8" xr3:uid="{ADCB0F03-F00C-4ADD-B731-0BB6086D9003}" name="Flat Laminex Colour" dataDxfId="43" dataCellStyle="Currency"/>
    <tableColumn id="6" xr3:uid="{070BC6B1-D7A1-4489-9DFB-AF94E5AA049C}" name="Veneer on Plywood" dataDxfId="42" dataCellStyle="Currency"/>
    <tableColumn id="7" xr3:uid="{879B8E90-8DBD-4DD7-9D79-250F1D9FCB12}" name="Finish Whole Panel Price" dataDxfId="41" dataCellStyle="Currency"/>
    <tableColumn id="9" xr3:uid="{F44892C1-4AAB-4CE2-836D-71C6ED0A1A29}" name="Laminate Edges Finish Price" dataDxfId="40" dataCellStyle="Currency"/>
    <tableColumn id="10" xr3:uid="{4BE1ECC3-4BD9-4A11-8846-17BF9BEB2057}" name="Linoleum Edge Finish Price" dataDxfId="39" dataCellStyle="Currency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1000000}" name="DoorLookup" displayName="DoorLookup" ref="B4:K25" totalsRowShown="0" headerRowDxfId="38" dataDxfId="37" headerRowCellStyle="Currency" dataCellStyle="Currency">
  <autoFilter ref="B4:K25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Doors, system size" dataDxfId="36"/>
    <tableColumn id="2" xr3:uid="{00000000-0010-0000-0100-000002000000}" name="Natural Plywood" dataDxfId="35" dataCellStyle="Currency"/>
    <tableColumn id="3" xr3:uid="{00000000-0010-0000-0100-000003000000}" name="Laminated Plywood" dataDxfId="34" dataCellStyle="Currency"/>
    <tableColumn id="4" xr3:uid="{00000000-0010-0000-0100-000004000000}" name="Linoleum Surfaced Plywood" dataDxfId="33" dataCellStyle="Currency"/>
    <tableColumn id="7" xr3:uid="{1164FDA1-0185-456F-996D-7ED7689E9EC6}" name="Matte Laminated Plywood" dataDxfId="32" dataCellStyle="Currency"/>
    <tableColumn id="8" xr3:uid="{AD12965F-C6B9-408C-AB09-DEE3C3A0E203}" name="Flat Laminex Colour" dataDxfId="31" dataCellStyle="Currency"/>
    <tableColumn id="5" xr3:uid="{00000000-0010-0000-0100-000005000000}" name="Veneer on Plywood" dataDxfId="30" dataCellStyle="Currency"/>
    <tableColumn id="6" xr3:uid="{00000000-0010-0000-0100-000006000000}" name="Finish Whole Panel Price" dataDxfId="29" dataCellStyle="Currency"/>
    <tableColumn id="9" xr3:uid="{B56B965E-071F-4214-9FDF-80D8F16E7333}" name="Laminate Edges Finish Price" dataDxfId="28" dataCellStyle="Currency"/>
    <tableColumn id="10" xr3:uid="{E198F3C0-2945-470D-ABF5-5F99DBACB6D2}" name="Linoleum Edge Finish Price" dataDxfId="27" dataCellStyle="Currency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5C9A73-9D8A-4923-A94B-5F092640B109}" name="Designs7" displayName="Designs7" ref="B133:J151" totalsRowShown="0" headerRowDxfId="26" dataDxfId="25">
  <autoFilter ref="B133:J151" xr:uid="{3C60BA18-4D49-45A0-9C7F-305886CEA5F2}"/>
  <tableColumns count="9">
    <tableColumn id="17" xr3:uid="{3C0F8BFB-7793-4B27-B5E8-94170A32D8E4}" name="Designs" dataDxfId="24"/>
    <tableColumn id="18" xr3:uid="{A9D3C00C-1D48-4918-A3D9-ACE1932A740E}" name="Custom Price per sqm" dataDxfId="23" dataCellStyle="Currency"/>
    <tableColumn id="1" xr3:uid="{CB3258E3-BCF3-4641-BF58-50D3E8D10C14}" name="Finish Price per sqm" dataDxfId="22"/>
    <tableColumn id="3" xr3:uid="{4D61B4B0-A45B-4635-8CF6-AA969A07A844}" name="Finish Price Edges per lineal meter" dataDxfId="21" dataCellStyle="Currency"/>
    <tableColumn id="2" xr3:uid="{6C712EDA-7DBC-43BD-86FB-6DF655CC4CDB}" name="Notes" dataDxfId="20"/>
    <tableColumn id="4" xr3:uid="{59CBD675-6FA9-4B16-9997-A9061EA0F579}" name="Minimum order" dataDxfId="19"/>
    <tableColumn id="5" xr3:uid="{F0C1A79E-67EB-40F8-88A7-D236B1B1C1D6}" name="Minimum order finished" dataDxfId="18"/>
    <tableColumn id="6" xr3:uid="{A77BD170-6686-4F25-A334-15BAD66505BF}" name="5% Discount" dataDxfId="17"/>
    <tableColumn id="7" xr3:uid="{4CC42436-AF91-478D-A553-3FE0D2ABAB3E}" name="10% Discount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ypeofFront" displayName="TypeofFront" ref="B153:B164" totalsRowShown="0" headerRowDxfId="169" dataDxfId="168">
  <autoFilter ref="B153:B164" xr:uid="{00000000-0009-0000-0100-000001000000}"/>
  <tableColumns count="1">
    <tableColumn id="1" xr3:uid="{00000000-0010-0000-0200-000001000000}" name="Type of front" dataDxfId="16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E24A7A1-F31F-4874-BFD3-4AB2A0F7BCF5}" name="TypeofFront8" displayName="TypeofFront8" ref="C153:C164" totalsRowShown="0" headerRowDxfId="15" dataDxfId="14">
  <autoFilter ref="C153:C164" xr:uid="{BB45287B-2FFE-4304-A970-22498FA98AF9}"/>
  <tableColumns count="1">
    <tableColumn id="1" xr3:uid="{710B7743-3069-48B1-8FC4-B60C1F38512C}" name="Type of front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Finishes" displayName="Finishes" ref="B174:B176" totalsRowShown="0" headerRowDxfId="166" dataDxfId="165">
  <autoFilter ref="B174:B176" xr:uid="{00000000-0009-0000-0100-000003000000}"/>
  <tableColumns count="1">
    <tableColumn id="1" xr3:uid="{00000000-0010-0000-0300-000001000000}" name="Finishes" dataDxfId="1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4000000}" name="WallCupboardDoors" displayName="WallCupboardDoors" ref="B27:K39" totalsRowShown="0" headerRowDxfId="163" dataDxfId="161" headerRowBorderDxfId="162" tableBorderDxfId="160" totalsRowBorderDxfId="159" headerRowCellStyle="Currency">
  <autoFilter ref="B27:K3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400-000001000000}" name="Wall Cupboard Doors" dataDxfId="158"/>
    <tableColumn id="2" xr3:uid="{00000000-0010-0000-0400-000002000000}" name="Natural Plywood" dataDxfId="157" dataCellStyle="Currency"/>
    <tableColumn id="3" xr3:uid="{00000000-0010-0000-0400-000003000000}" name="Laminated Plywood" dataDxfId="156" dataCellStyle="Currency"/>
    <tableColumn id="4" xr3:uid="{00000000-0010-0000-0400-000004000000}" name="Linoleum Surfaced Plywood" dataDxfId="155" dataCellStyle="Currency"/>
    <tableColumn id="7" xr3:uid="{AC57EE08-967A-4F6B-99CD-4020801F7178}" name="Matte Laminated Plywood" dataDxfId="154" dataCellStyle="Currency"/>
    <tableColumn id="8" xr3:uid="{03E5E3D2-B534-4B37-B959-C4633F8B093F}" name="Flat Laminex Colour" dataDxfId="153" dataCellStyle="Currency"/>
    <tableColumn id="5" xr3:uid="{00000000-0010-0000-0400-000005000000}" name="Veneer on Plywood" dataDxfId="152"/>
    <tableColumn id="6" xr3:uid="{00000000-0010-0000-0400-000006000000}" name="Finish Whole Panel Price" dataDxfId="151"/>
    <tableColumn id="9" xr3:uid="{F0C8F366-1479-45EC-B933-63DAC64AECF9}" name="Laminate Edges Finish Price" dataDxfId="150"/>
    <tableColumn id="10" xr3:uid="{AF8DDD6B-5BD8-4831-80F4-67BB62A95DB3}" name="Linoleum Edge Finish Price" dataDxfId="1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HorizontalDoorLookup" displayName="HorizontalDoorLookup" ref="B41:K45" totalsRowShown="0" headerRowDxfId="148" dataDxfId="147" headerRowCellStyle="Currency" dataCellStyle="Currency">
  <autoFilter ref="B41:K45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500-000001000000}" name="Horizontal Doors" dataDxfId="146"/>
    <tableColumn id="2" xr3:uid="{00000000-0010-0000-0500-000002000000}" name="Natural Plywood" dataDxfId="145" dataCellStyle="Currency"/>
    <tableColumn id="3" xr3:uid="{00000000-0010-0000-0500-000003000000}" name="Laminated Plywood" dataDxfId="144" dataCellStyle="Currency"/>
    <tableColumn id="4" xr3:uid="{00000000-0010-0000-0500-000004000000}" name="Linoleum Surfaced Plywood" dataDxfId="143" dataCellStyle="Currency"/>
    <tableColumn id="7" xr3:uid="{FE9ACCE9-F7F9-4665-A2D7-088053DEFD2F}" name="Matte Laminated Plywood" dataDxfId="142" dataCellStyle="Currency"/>
    <tableColumn id="8" xr3:uid="{F218F91A-03A1-4F19-B777-0FF9CA2039B4}" name="Flat Laminex Colour" dataDxfId="141" dataCellStyle="Currency"/>
    <tableColumn id="5" xr3:uid="{00000000-0010-0000-0500-000005000000}" name="Veneer on Plywood" dataDxfId="140" dataCellStyle="Currency"/>
    <tableColumn id="6" xr3:uid="{00000000-0010-0000-0500-000006000000}" name="Finish Whole Panel Price" dataDxfId="139" dataCellStyle="Currency"/>
    <tableColumn id="9" xr3:uid="{C7F76EA7-D411-418B-A5F1-91FCA11B271F}" name="Laminate Edges Finish Price" dataDxfId="138" dataCellStyle="Currency"/>
    <tableColumn id="10" xr3:uid="{AA2E81BA-3EFD-457B-A923-E757A3D272DD}" name="Linoleum Edge Finish Price" dataDxfId="137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6000000}" name="DrawerLookup" displayName="DrawerLookup" ref="B47:K59" totalsRowShown="0" headerRowDxfId="136" dataDxfId="135" headerRowCellStyle="Currency" dataCellStyle="Currency">
  <autoFilter ref="B47:K59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600-000001000000}" name="Drawer fronts, system size" dataDxfId="134"/>
    <tableColumn id="2" xr3:uid="{00000000-0010-0000-0600-000002000000}" name="Natural Plywood" dataDxfId="133" dataCellStyle="Currency"/>
    <tableColumn id="3" xr3:uid="{00000000-0010-0000-0600-000003000000}" name="Laminated Plywood" dataDxfId="132" dataCellStyle="Currency"/>
    <tableColumn id="4" xr3:uid="{00000000-0010-0000-0600-000004000000}" name="Linoleum Surfaced Plywood" dataDxfId="131" dataCellStyle="Currency"/>
    <tableColumn id="7" xr3:uid="{EF791C0B-5327-42B3-9CBF-0B091B8C0218}" name="Matte Laminated Plywood" dataDxfId="130" dataCellStyle="Currency"/>
    <tableColumn id="8" xr3:uid="{691B7701-60F5-499F-8625-35C6F2B938E0}" name="Flat Laminex Colour" dataDxfId="129" dataCellStyle="Currency"/>
    <tableColumn id="5" xr3:uid="{00000000-0010-0000-0600-000005000000}" name="Veneer on Plywood" dataDxfId="128" dataCellStyle="Currency"/>
    <tableColumn id="6" xr3:uid="{00000000-0010-0000-0600-000006000000}" name="Finish Whole Panel Price" dataDxfId="127" dataCellStyle="Currency"/>
    <tableColumn id="9" xr3:uid="{0FECA3EA-6CAB-4091-A71D-6ABD02DE0C65}" name="Laminate Edges Finish Price" dataDxfId="126" dataCellStyle="Currency"/>
    <tableColumn id="10" xr3:uid="{B667A6D3-516A-4EBD-A5E8-6C2FD984077F}" name="Linoleum Edge Finish Price" dataDxfId="125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WallCupboardPanelLookup" displayName="WallCupboardPanelLookup" ref="B61:K65" totalsRowShown="0" headerRowDxfId="124" dataDxfId="123" dataCellStyle="Currency">
  <autoFilter ref="B61:K65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700-000001000000}" name="WallCupboardPanels" dataDxfId="122"/>
    <tableColumn id="2" xr3:uid="{00000000-0010-0000-0700-000002000000}" name="Natural Plywood" dataDxfId="121" dataCellStyle="Currency"/>
    <tableColumn id="3" xr3:uid="{00000000-0010-0000-0700-000003000000}" name="Laminated Plywood" dataDxfId="120" dataCellStyle="Currency"/>
    <tableColumn id="4" xr3:uid="{00000000-0010-0000-0700-000004000000}" name="Linoleum Surfaced Plywood" dataDxfId="119" dataCellStyle="Currency"/>
    <tableColumn id="7" xr3:uid="{69943C90-6980-420E-BBD5-491DE0A28599}" name="Matte Laminated Plywood" dataDxfId="118" dataCellStyle="Currency"/>
    <tableColumn id="8" xr3:uid="{1277243E-57F8-4217-AA88-762E55B63CD6}" name="Flat Laminex Colour" dataDxfId="117" dataCellStyle="Currency"/>
    <tableColumn id="5" xr3:uid="{00000000-0010-0000-0700-000005000000}" name="Veneer on Plywood" dataDxfId="116" dataCellStyle="Currency"/>
    <tableColumn id="6" xr3:uid="{00000000-0010-0000-0700-000006000000}" name="Finish Whole Panel Price" dataDxfId="115" dataCellStyle="Currency"/>
    <tableColumn id="9" xr3:uid="{CD7D0A27-6EE4-4AEF-BED3-67E305572DE5}" name="Laminate Edges Finish Price" dataDxfId="114" dataCellStyle="Currency"/>
    <tableColumn id="10" xr3:uid="{EEEC475D-5009-4BDC-A58D-51BD1C9B9DB6}" name="Linoleum Edge Finish Price" dataDxfId="113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PanelLookup" displayName="PanelLookup" ref="B67:K85" totalsRowShown="0" headerRowDxfId="112" dataDxfId="111">
  <autoFilter ref="B67:K85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800-000001000000}" name="Panels" dataDxfId="110"/>
    <tableColumn id="2" xr3:uid="{00000000-0010-0000-0800-000002000000}" name="Natural Plywood" dataDxfId="109" dataCellStyle="Currency"/>
    <tableColumn id="3" xr3:uid="{00000000-0010-0000-0800-000003000000}" name="Laminated Plywood" dataDxfId="108" dataCellStyle="Currency"/>
    <tableColumn id="4" xr3:uid="{00000000-0010-0000-0800-000004000000}" name="Linoleum Surfaced Plywood" dataDxfId="107" dataCellStyle="Currency"/>
    <tableColumn id="7" xr3:uid="{94C74B5E-122F-4D8A-947C-994BE7157735}" name="Matte Laminated Plywood" dataDxfId="106" dataCellStyle="Currency"/>
    <tableColumn id="8" xr3:uid="{AFEAD10B-B767-4055-B99C-AFD22B074EBF}" name="Flat Laminex Colour" dataDxfId="105" dataCellStyle="Currency"/>
    <tableColumn id="5" xr3:uid="{00000000-0010-0000-0800-000005000000}" name="Veneer on Plywood" dataDxfId="104" dataCellStyle="Currency"/>
    <tableColumn id="6" xr3:uid="{00000000-0010-0000-0800-000006000000}" name="Finish Whole Panel Price" dataDxfId="103" dataCellStyle="Currency"/>
    <tableColumn id="9" xr3:uid="{A430F4A3-8CB0-4A58-911E-61907218A004}" name="Laminate Edges Finish Price" dataDxfId="102" dataCellStyle="Currency"/>
    <tableColumn id="10" xr3:uid="{12FF1DBD-BE4E-46E3-9D3C-D4C19E123C75}" name="Linoleum Edge Finish Price" dataDxfId="101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9000000}" name="KickboardLookup" displayName="KickboardLookup" ref="B87:K89" totalsRowShown="0" headerRowDxfId="100" dataDxfId="99" dataCellStyle="Currency">
  <autoFilter ref="B87:K89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900-000001000000}" name="Kickboard" dataDxfId="98"/>
    <tableColumn id="2" xr3:uid="{00000000-0010-0000-0900-000002000000}" name="Natural Plywood" dataDxfId="97" dataCellStyle="Currency"/>
    <tableColumn id="3" xr3:uid="{00000000-0010-0000-0900-000003000000}" name="Laminated Plywood" dataDxfId="96" dataCellStyle="Currency"/>
    <tableColumn id="4" xr3:uid="{00000000-0010-0000-0900-000004000000}" name="Linoleum Surfaced Plywood" dataDxfId="95" dataCellStyle="Currency"/>
    <tableColumn id="7" xr3:uid="{118A2957-4381-433C-B64D-55B36575AF9C}" name="Matte Laminated Plywood" dataDxfId="94" dataCellStyle="Currency"/>
    <tableColumn id="8" xr3:uid="{A16CC097-22AB-4BC7-B0C5-58DB625CF0B8}" name="Flat Laminex Colour" dataDxfId="93" dataCellStyle="Currency"/>
    <tableColumn id="5" xr3:uid="{00000000-0010-0000-0900-000005000000}" name="Veneer on Plywood" dataDxfId="92" dataCellStyle="Currency"/>
    <tableColumn id="6" xr3:uid="{00000000-0010-0000-0900-000006000000}" name="Finish Whole Panel Price" dataDxfId="91" dataCellStyle="Currency"/>
    <tableColumn id="9" xr3:uid="{2627DD91-13B6-4B41-B4CF-9BEEA3214039}" name="Laminate Edges Finish Price" dataDxfId="90" dataCellStyle="Currency"/>
    <tableColumn id="10" xr3:uid="{34510D64-EC7A-45B5-A3EA-136403ECE155}" name="Linoleum Edge Finish Price" dataDxfId="89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"/>
  <sheetViews>
    <sheetView showGridLines="0" showZeros="0" tabSelected="1" showRuler="0" zoomScaleNormal="100" workbookViewId="0">
      <selection activeCell="B7" sqref="B7:F7"/>
    </sheetView>
  </sheetViews>
  <sheetFormatPr defaultColWidth="8.86328125" defaultRowHeight="14.25" x14ac:dyDescent="0.45"/>
  <cols>
    <col min="1" max="1" width="9.86328125" customWidth="1"/>
    <col min="2" max="2" width="17.73046875" customWidth="1"/>
    <col min="3" max="3" width="10.1328125" customWidth="1"/>
    <col min="4" max="4" width="9.73046875" customWidth="1"/>
    <col min="5" max="5" width="10.73046875" customWidth="1"/>
    <col min="6" max="6" width="7.73046875" customWidth="1"/>
    <col min="7" max="7" width="15.1328125" customWidth="1"/>
    <col min="8" max="8" width="10.73046875" customWidth="1"/>
    <col min="9" max="9" width="19.9296875" customWidth="1"/>
    <col min="10" max="10" width="20.73046875" customWidth="1"/>
    <col min="11" max="11" width="18.06640625" customWidth="1"/>
    <col min="12" max="12" width="40.6640625" style="86" customWidth="1"/>
    <col min="13" max="13" width="15.73046875" customWidth="1"/>
    <col min="14" max="14" width="14.1328125" customWidth="1"/>
  </cols>
  <sheetData>
    <row r="1" spans="2:15" ht="14.65" x14ac:dyDescent="0.5">
      <c r="C1" s="24"/>
    </row>
    <row r="2" spans="2:15" ht="35.25" customHeight="1" x14ac:dyDescent="0.45"/>
    <row r="3" spans="2:15" ht="5.0999999999999996" customHeight="1" x14ac:dyDescent="0.45"/>
    <row r="4" spans="2:15" ht="30.4" x14ac:dyDescent="1.05">
      <c r="B4" s="12" t="s">
        <v>183</v>
      </c>
      <c r="C4" s="3"/>
      <c r="D4" s="3"/>
      <c r="E4" s="3"/>
      <c r="F4" s="13"/>
      <c r="G4" s="14" t="s">
        <v>182</v>
      </c>
      <c r="I4" s="13"/>
      <c r="J4" s="13"/>
      <c r="K4" s="14">
        <f ca="1">TODAY()</f>
        <v>43738</v>
      </c>
      <c r="L4" s="87"/>
    </row>
    <row r="5" spans="2:15" ht="15" customHeight="1" x14ac:dyDescent="1.05">
      <c r="B5" s="15"/>
      <c r="C5" s="3"/>
      <c r="D5" s="3"/>
      <c r="E5" s="3"/>
      <c r="F5" s="13"/>
      <c r="G5" s="13"/>
      <c r="H5" s="13"/>
      <c r="I5" s="13"/>
      <c r="J5" s="3"/>
      <c r="K5" s="150" t="str">
        <f ca="1">IF($K$6=0,"",IF($K$6&lt;$L$7,"You have not reached the minimum order",IF($M$6&gt;$M$8,"10% Discount applied to your total!",IF($M$6&gt;$M$7,"5% Discount applied to your total!",""))))</f>
        <v/>
      </c>
      <c r="L5" s="151"/>
      <c r="M5" s="182"/>
      <c r="N5" s="182"/>
      <c r="O5" s="182"/>
    </row>
    <row r="6" spans="2:15" s="21" customFormat="1" ht="15" customHeight="1" x14ac:dyDescent="0.55000000000000004">
      <c r="B6" s="188" t="s">
        <v>75</v>
      </c>
      <c r="C6" s="189"/>
      <c r="D6" s="189"/>
      <c r="E6" s="189"/>
      <c r="F6" s="190"/>
      <c r="G6" s="16"/>
      <c r="H6" s="17" t="s">
        <v>76</v>
      </c>
      <c r="I6" s="18"/>
      <c r="J6" s="19" t="s">
        <v>77</v>
      </c>
      <c r="K6" s="20">
        <f ca="1">IF($M$9=0,SUM(K20:K103)+IF($H$14="",0,$H$14),$M$9+IF($H$14="",0,$H$14))</f>
        <v>0</v>
      </c>
      <c r="L6" s="152"/>
      <c r="M6" s="128">
        <f ca="1">SUM(K20:K103) +N("sum straight off the saw")</f>
        <v>0</v>
      </c>
      <c r="N6" s="152"/>
      <c r="O6" s="152"/>
    </row>
    <row r="7" spans="2:15" s="21" customFormat="1" ht="15" customHeight="1" x14ac:dyDescent="0.45">
      <c r="B7" s="191"/>
      <c r="C7" s="192"/>
      <c r="D7" s="192"/>
      <c r="E7" s="192"/>
      <c r="F7" s="193"/>
      <c r="G7" s="16"/>
      <c r="H7" s="194"/>
      <c r="I7" s="195"/>
      <c r="J7" s="22" t="s">
        <v>78</v>
      </c>
      <c r="K7" s="22" t="str">
        <f>IF($C$14="Finished", "(Including Finishing)", "")</f>
        <v/>
      </c>
      <c r="L7" s="117">
        <f>IF($C$12="",0,IF($C$14=PriceList!$B$175,VLOOKUP($C$12,Designs[],3,0),VLOOKUP($C$12,Designs[],4,0))) + N("minimum order price")</f>
        <v>0</v>
      </c>
      <c r="M7" s="129">
        <f>IF($C$12="",0,VLOOKUP($C$12,Designs[],5,0)) +N("price to get 5% discount")</f>
        <v>0</v>
      </c>
      <c r="N7" s="152"/>
      <c r="O7" s="152"/>
    </row>
    <row r="8" spans="2:15" s="21" customFormat="1" ht="15" customHeight="1" x14ac:dyDescent="0.5">
      <c r="B8" s="183"/>
      <c r="C8" s="184"/>
      <c r="D8" s="184"/>
      <c r="E8" s="184"/>
      <c r="F8" s="185"/>
      <c r="G8" s="16"/>
      <c r="H8" s="186"/>
      <c r="I8" s="187"/>
      <c r="J8" s="23" t="s">
        <v>79</v>
      </c>
      <c r="K8" s="1">
        <f>SUMIF(B$20:B$101,PriceList!$B154, F$20:F$101)</f>
        <v>0</v>
      </c>
      <c r="L8" s="151"/>
      <c r="M8" s="129">
        <f>IF($C$12="",0,VLOOKUP($C$12,Designs[],6,0)) +N("Price to get 10% discount")</f>
        <v>0</v>
      </c>
      <c r="N8" s="152"/>
      <c r="O8" s="152"/>
    </row>
    <row r="9" spans="2:15" s="21" customFormat="1" ht="15" customHeight="1" x14ac:dyDescent="0.5">
      <c r="B9" s="183"/>
      <c r="C9" s="184"/>
      <c r="D9" s="184"/>
      <c r="E9" s="184"/>
      <c r="F9" s="185"/>
      <c r="G9" s="16"/>
      <c r="H9" s="186"/>
      <c r="I9" s="187"/>
      <c r="J9" s="23" t="s">
        <v>80</v>
      </c>
      <c r="K9" s="1">
        <f>SUMIF(B$20:B$101,PriceList!$B$155,F$20:F$101)+SUMIF(B$20:B$101,PriceList!$B$163,F$20:F$101)</f>
        <v>0</v>
      </c>
      <c r="L9" s="151"/>
      <c r="M9" s="130">
        <f ca="1">IF($M$6&gt;$M$8,$M$6*0.9,IF($M$6&gt;$M$7,$M$6*0.95,0)) +N("Price straight off the saw including discount")</f>
        <v>0</v>
      </c>
      <c r="N9" s="152"/>
      <c r="O9" s="152"/>
    </row>
    <row r="10" spans="2:15" s="21" customFormat="1" ht="15" customHeight="1" x14ac:dyDescent="0.5">
      <c r="B10" s="197"/>
      <c r="C10" s="198"/>
      <c r="D10" s="198"/>
      <c r="E10" s="198"/>
      <c r="F10" s="199"/>
      <c r="G10" s="16"/>
      <c r="H10" s="200"/>
      <c r="I10" s="201"/>
      <c r="J10" s="23" t="s">
        <v>81</v>
      </c>
      <c r="K10" s="1">
        <f>SUMIF(B$20:B$101,PriceList!$B156, F$20:F$101)</f>
        <v>0</v>
      </c>
      <c r="L10" s="151"/>
      <c r="M10" s="152"/>
      <c r="N10" s="152"/>
      <c r="O10" s="152"/>
    </row>
    <row r="11" spans="2:15" s="21" customFormat="1" ht="15" customHeight="1" x14ac:dyDescent="0.5">
      <c r="B11" s="16"/>
      <c r="C11" s="24">
        <f>IF($C$12="",0,VLOOKUP($C$12,MaterialLookup,2,FALSE))+N("Finds the design column lookup.")</f>
        <v>0</v>
      </c>
      <c r="E11" s="71">
        <f>IF($C$12="",0,IF(OR($C$12=PriceList!$B$167,$C$12=PriceList!$B$172),PriceList!$B$221,IF($C$12=PriceList!$B$169,PriceList!$D$221,PriceList!$C$221))) + N("Formula to determine what finishing, whole panel or edging.")</f>
        <v>0</v>
      </c>
      <c r="F11" s="71"/>
      <c r="G11" s="16"/>
      <c r="H11" s="16"/>
      <c r="I11" s="16"/>
      <c r="J11" s="23" t="s">
        <v>100</v>
      </c>
      <c r="K11" s="1">
        <f>SUMIF(B$20:B$101,PriceList!$B157, F$20:F$101)</f>
        <v>0</v>
      </c>
      <c r="L11" s="151"/>
      <c r="M11" s="152"/>
      <c r="N11" s="152"/>
      <c r="O11" s="152"/>
    </row>
    <row r="12" spans="2:15" ht="15" customHeight="1" x14ac:dyDescent="0.5">
      <c r="B12" s="3" t="s">
        <v>83</v>
      </c>
      <c r="C12" s="196"/>
      <c r="D12" s="196"/>
      <c r="E12" s="196"/>
      <c r="F12" s="196"/>
      <c r="H12" s="64"/>
      <c r="I12" s="64"/>
      <c r="J12" s="23" t="s">
        <v>82</v>
      </c>
      <c r="K12" s="1">
        <f>SUMIF(B$20:B$101,PriceList!$B158, F$20:F$101)</f>
        <v>0</v>
      </c>
      <c r="L12" s="148"/>
      <c r="M12" s="149"/>
      <c r="N12" s="149"/>
    </row>
    <row r="13" spans="2:15" ht="15" customHeight="1" x14ac:dyDescent="0.5">
      <c r="B13" s="3" t="s">
        <v>113</v>
      </c>
      <c r="C13" s="196" t="str">
        <f>IF($C$12=PriceList!$B$167,"N/A",IF($C$12=PriceList!$B$171,"Please type Laminex colour to right -&gt;",""))</f>
        <v/>
      </c>
      <c r="D13" s="196"/>
      <c r="E13" s="196" t="str">
        <f>IF($C$12=PriceList!$B$167,"N/A",IF($C$12=PriceList!$B$171,"Please type Laminex colour to right -&gt;",""))</f>
        <v/>
      </c>
      <c r="F13" s="196" t="str">
        <f>IF($C$12=PriceList!$B$167,"N/A",IF($C$12=PriceList!$B$171,"Please type Laminex colour to right -&gt;",""))</f>
        <v/>
      </c>
      <c r="G13" s="98"/>
      <c r="I13" s="79">
        <f>IF($C$12="",0,IF($C$12=PriceList!$B$169,"Linoleum",IF(OR($C$12=PriceList!$B$168,$C$12=PriceList!$B$170),"Laminate",IF($C$12=PriceList!$B$172,"Veneer",""))))</f>
        <v>0</v>
      </c>
      <c r="J13" s="23" t="s">
        <v>84</v>
      </c>
      <c r="K13" s="1">
        <f>SUMIF(B$20:B$101,PriceList!$B159, F$20:F$101)</f>
        <v>0</v>
      </c>
      <c r="L13" s="148"/>
      <c r="M13" s="149"/>
      <c r="N13" s="149"/>
    </row>
    <row r="14" spans="2:15" ht="15" customHeight="1" x14ac:dyDescent="0.5">
      <c r="B14" s="3" t="s">
        <v>85</v>
      </c>
      <c r="C14" s="196"/>
      <c r="D14" s="196"/>
      <c r="E14" s="196"/>
      <c r="F14" s="196"/>
      <c r="G14" s="65" t="str">
        <f>IF($C14="","",IF($C14=PriceList!B176,"Finishing Price:",""))</f>
        <v/>
      </c>
      <c r="H14" s="64" t="str">
        <f>IF($C14="","",IF($C14=PriceList!B176,SUM(M20:M101),""))</f>
        <v/>
      </c>
      <c r="I14" s="64"/>
      <c r="J14" s="23" t="s">
        <v>86</v>
      </c>
      <c r="K14" s="1">
        <f>SUMIF(B$20:B$101,PriceList!$B160, F$20:F$101)</f>
        <v>0</v>
      </c>
      <c r="L14" s="148"/>
      <c r="M14" s="149"/>
      <c r="N14" s="149"/>
    </row>
    <row r="15" spans="2:15" ht="15" customHeight="1" x14ac:dyDescent="0.5">
      <c r="B15" s="3" t="s">
        <v>87</v>
      </c>
      <c r="C15" s="196"/>
      <c r="D15" s="196"/>
      <c r="E15" s="196"/>
      <c r="F15" s="196"/>
      <c r="G15" s="64"/>
      <c r="H15" s="64"/>
      <c r="I15" s="33"/>
      <c r="J15" s="23" t="s">
        <v>101</v>
      </c>
      <c r="K15" s="1">
        <f>SUMIF(B$20:B$101,PriceList!$B161, F$20:F$101)</f>
        <v>0</v>
      </c>
      <c r="L15" s="148"/>
      <c r="M15" s="149"/>
      <c r="N15" s="149"/>
    </row>
    <row r="16" spans="2:15" ht="15" customHeight="1" x14ac:dyDescent="0.5">
      <c r="B16" s="41" t="s">
        <v>142</v>
      </c>
      <c r="C16" s="196"/>
      <c r="D16" s="196"/>
      <c r="E16" s="196"/>
      <c r="F16" s="196"/>
      <c r="G16" s="33"/>
      <c r="H16" s="33"/>
      <c r="I16" s="33"/>
      <c r="J16" s="23" t="s">
        <v>88</v>
      </c>
      <c r="K16" s="1">
        <f>SUMIF(B$20:B$101,PriceList!$B162, F$20:F$101)</f>
        <v>0</v>
      </c>
      <c r="L16" s="148"/>
      <c r="M16" s="149"/>
      <c r="N16" s="149"/>
    </row>
    <row r="17" spans="1:14" ht="15" customHeight="1" x14ac:dyDescent="0.5">
      <c r="B17" s="3"/>
      <c r="C17" s="34"/>
      <c r="D17" s="34"/>
      <c r="E17" s="34"/>
      <c r="F17" s="34"/>
      <c r="G17" s="3"/>
      <c r="H17" s="3"/>
      <c r="I17" s="3"/>
      <c r="J17" s="23" t="s">
        <v>165</v>
      </c>
      <c r="K17" s="1">
        <f>SUMIF($B$20:$B$101,PriceList!$B$164,$F$20:$F$101)</f>
        <v>0</v>
      </c>
      <c r="L17" s="82"/>
      <c r="M17" s="66"/>
    </row>
    <row r="18" spans="1:14" ht="14.65" x14ac:dyDescent="0.5">
      <c r="B18" s="3"/>
      <c r="C18" s="34"/>
      <c r="D18" s="34"/>
      <c r="E18" s="34"/>
      <c r="F18" s="34"/>
      <c r="G18" s="3"/>
      <c r="H18" s="3"/>
      <c r="I18" s="3"/>
      <c r="J18" s="3"/>
      <c r="K18" s="3"/>
      <c r="L18" s="82"/>
      <c r="M18" s="66"/>
    </row>
    <row r="19" spans="1:14" ht="14.65" x14ac:dyDescent="0.5">
      <c r="A19" s="210" t="s">
        <v>233</v>
      </c>
      <c r="B19" s="25" t="s">
        <v>0</v>
      </c>
      <c r="C19" s="176" t="s">
        <v>147</v>
      </c>
      <c r="D19" s="177"/>
      <c r="E19" s="25" t="s">
        <v>72</v>
      </c>
      <c r="F19" s="25" t="s">
        <v>89</v>
      </c>
      <c r="G19" s="25" t="s">
        <v>90</v>
      </c>
      <c r="H19" s="25" t="s">
        <v>61</v>
      </c>
      <c r="I19" s="25" t="s">
        <v>67</v>
      </c>
      <c r="J19" s="25" t="s">
        <v>91</v>
      </c>
      <c r="K19" s="25" t="s">
        <v>92</v>
      </c>
      <c r="L19" s="88"/>
      <c r="M19" s="85" t="s">
        <v>110</v>
      </c>
      <c r="N19" s="79" t="s">
        <v>173</v>
      </c>
    </row>
    <row r="20" spans="1:14" s="26" customFormat="1" ht="15" customHeight="1" x14ac:dyDescent="0.5">
      <c r="A20" s="202"/>
      <c r="B20" s="145"/>
      <c r="C20" s="178"/>
      <c r="D20" s="179"/>
      <c r="E20" s="27" t="str">
        <f>IF($B20=0,"",IF($C20=PriceList!$B$19,PriceList!$B$190,IF(OR($B20=PriceList!$B$155,$B20=PriceList!$B$156,$B20=PriceList!$B$163,$B20=PriceList!$B$164),"",PriceList!$B$190)))</f>
        <v/>
      </c>
      <c r="F20" s="147"/>
      <c r="G20" s="122" t="str">
        <f ca="1">IF($C20="","",VLOOKUP($C20,INDIRECT(B20&amp;"Lookup"),$C$11,FALSE))</f>
        <v/>
      </c>
      <c r="H20" s="27" t="str">
        <f>IF($B20=0,"",IF(OR($B20=PriceList!$B$156,$B20=PriceList!$B$157,$B20=PriceList!$B$161),PriceList!$B$128,IF(OR($C$15="",$C$15=PriceList!$B$124),PriceList!$B$129,IF(OR($B20=PriceList!$B$154,$B20=PriceList!$B$155,$B20=PriceList!$B$163,$B20=PriceList!$B$164),$C$15,PriceList!$B$129))))</f>
        <v/>
      </c>
      <c r="I20" s="27" t="str">
        <f>IF($B20="","",IF(OR($H20=PriceList!$B$129,$H20=PriceList!$B$128),PriceList!$B$179,IF(OR($B20=PriceList!$B$154,$E20=PriceList!$B$193,$C20=PriceList!$B$5),PriceList!$B$180,IF(AND(OR($B20=PriceList!$B$163,$B20=PriceList!$B$164,ISNUMBER(SEARCH("180",$C20)),ISNUMBER(SEARCH("140",$C20)),ISNUMBER(SEARCH("200",$C20))),$E20=PriceList!$B$191),PriceList!$B$186,IF(AND(OR($B20=PriceList!$B$163,$B20=PriceList!$B$164,ISNUMBER(SEARCH("180",$C20)),ISNUMBER(SEARCH("140",$C20)),ISNUMBER(SEARCH("200",$C20))),$E20=PriceList!$B$192),PriceList!$B$185,IF(AND($B20=PriceList!$B$155,$E20=PriceList!$B$191),PriceList!$B$182,IF(AND(B20=PriceList!$B$155,E20=PriceList!$B$192),PriceList!$B$181,IF(AND($B20=PriceList!$B$156,$E20=PriceList!$B$191),PriceList!$B$184,IF(AND(B20=PriceList!$B$156,E20=PriceList!$B$192),PriceList!$B$183,IF(AND($B20=PriceList!$B$157,$H20&lt;&gt;PriceList!$B$128),PriceList!$B$180,PriceList!$B$179))))))))))</f>
        <v/>
      </c>
      <c r="J20" s="95" t="str">
        <f>IF($H20="","",VLOOKUP($H20,HandleLookup[],2,FALSE))</f>
        <v/>
      </c>
      <c r="K20" s="95" t="str">
        <f ca="1">IF(OR($F20="",$G20=""),"",SUM(F20*G20+F20*J20))</f>
        <v/>
      </c>
      <c r="L20" s="106" t="str">
        <f>IF($B20=PriceList!$B$163,"",IF(AND($B20=PriceList!$B$155,OR($C20="60x40",C20="60x60",C20="60x80")),"NB! Plywood is happier as drawers if possible.", IF(OR($C20="40x140",C20="40x180",C20="40x200",C20="60x140",C20="60x180",C20="60x200"),"NB! We recommend using MDF Doors for sizes over 120cm","")))</f>
        <v/>
      </c>
      <c r="M20" s="72" t="str">
        <f ca="1">IF(OR($B20="",$C$14=PriceList!$B$175),"", $F20*$N20+$F20*VLOOKUP($C20,INDIRECT($B20&amp;"Lookup"), $E$11,FALSE))</f>
        <v/>
      </c>
      <c r="N20">
        <f>IF(OR($C$12=PriceList!$B$167,$C$14=PriceList!$B$175),0,IF($H20=PriceList!$B$125,PriceList!$D$125,IF($H20=PriceList!$B$126,PriceList!$D$126,0)))</f>
        <v>0</v>
      </c>
    </row>
    <row r="21" spans="1:14" ht="15" customHeight="1" x14ac:dyDescent="0.5">
      <c r="A21" s="203"/>
      <c r="B21" s="146"/>
      <c r="C21" s="180"/>
      <c r="D21" s="181"/>
      <c r="E21" s="27" t="str">
        <f>IF($B21=0,"",IF($C21=PriceList!$B$19,PriceList!$B$190,IF(OR($B21=PriceList!$B$155,$B21=PriceList!$B$156,$B21=PriceList!$B$163,$B21=PriceList!$B$164),"",PriceList!$B$190)))</f>
        <v/>
      </c>
      <c r="F21" s="27"/>
      <c r="G21" s="122" t="str">
        <f t="shared" ref="G21:G48" ca="1" si="0">IF($C21="","",VLOOKUP($C21,INDIRECT(B21&amp;"Lookup"),$C$11,FALSE))</f>
        <v/>
      </c>
      <c r="H21" s="27" t="str">
        <f>IF($B21=0,"",IF(OR($B21=PriceList!$B$156,$B21=PriceList!$B$157,$B21=PriceList!$B$161),PriceList!$B$128,IF(OR($C$15="",$C$15=PriceList!$B$124),PriceList!$B$129,IF(OR($B21=PriceList!$B$154,$B21=PriceList!$B$155,$B21=PriceList!$B$163,$B21=PriceList!$B$164),$C$15,PriceList!$B$129))))</f>
        <v/>
      </c>
      <c r="I21" s="27" t="str">
        <f>IF($B21="","",IF(OR($H21=PriceList!$B$129,$H21=PriceList!$B$128),PriceList!$B$179,IF(OR($B21=PriceList!$B$154,$E21=PriceList!$B$193,$C21=PriceList!$B$5),PriceList!$B$180,IF(AND(OR($B21=PriceList!$B$163,$B21=PriceList!$B$164,ISNUMBER(SEARCH("180",$C21)),ISNUMBER(SEARCH("140",$C21)),ISNUMBER(SEARCH("200",$C21))),$E21=PriceList!$B$191),PriceList!$B$186,IF(AND(OR($B21=PriceList!$B$163,$B21=PriceList!$B$164,ISNUMBER(SEARCH("180",$C21)),ISNUMBER(SEARCH("140",$C21)),ISNUMBER(SEARCH("200",$C21))),$E21=PriceList!$B$192),PriceList!$B$185,IF(AND($B21=PriceList!$B$155,$E21=PriceList!$B$191),PriceList!$B$182,IF(AND(B21=PriceList!$B$155,E21=PriceList!$B$192),PriceList!$B$181,IF(AND($B21=PriceList!$B$156,$E21=PriceList!$B$191),PriceList!$B$184,IF(AND(B21=PriceList!$B$156,E21=PriceList!$B$192),PriceList!$B$183,IF(AND($B21=PriceList!$B$157,$H21&lt;&gt;PriceList!$B$128),PriceList!$B$180,PriceList!$B$179))))))))))</f>
        <v/>
      </c>
      <c r="J21" s="95" t="str">
        <f>IF($H21="","",VLOOKUP($H21,HandleLookup[],2,FALSE))</f>
        <v/>
      </c>
      <c r="K21" s="95" t="str">
        <f t="shared" ref="K21:K84" ca="1" si="1">IF(OR($F21="",$G21=""),"",SUM(F21*G21+F21*J21))</f>
        <v/>
      </c>
      <c r="L21" s="106" t="str">
        <f>IF($B21=PriceList!$B$163,"",IF(AND($B21=PriceList!$B$155,OR($C21="60x40",C21="60x60",C21="60x80")),"NB! Plywood is happier as drawers if possible.", IF(OR($C21="40x140",C21="40x180",C21="40x200",C21="60x140",C21="60x180",C21="60x200"),"NB! We recommend using MDF Doors for sizes over 120cm","")))</f>
        <v/>
      </c>
      <c r="M21" s="72" t="str">
        <f ca="1">IF(OR($B21="",$C$14=PriceList!$B$175),"", $F21*$N21+$F21*VLOOKUP($C21,INDIRECT($B21&amp;"Lookup"), $E$11,FALSE))</f>
        <v/>
      </c>
      <c r="N21">
        <f>IF(OR($C$12=PriceList!$B$167,$C$14=PriceList!$B$175),0,IF($H21=PriceList!$B$125,PriceList!$D$125,IF($H21=PriceList!$B$126,PriceList!$D$126,0)))</f>
        <v>0</v>
      </c>
    </row>
    <row r="22" spans="1:14" ht="15" customHeight="1" x14ac:dyDescent="0.5">
      <c r="A22" s="203"/>
      <c r="B22" s="146"/>
      <c r="C22" s="180"/>
      <c r="D22" s="181"/>
      <c r="E22" s="27" t="str">
        <f>IF($B22=0,"",IF($C22=PriceList!$B$19,PriceList!$B$190,IF(OR($B22=PriceList!$B$155,$B22=PriceList!$B$156,$B22=PriceList!$B$163,$B22=PriceList!$B$164),"",PriceList!$B$190)))</f>
        <v/>
      </c>
      <c r="F22" s="27"/>
      <c r="G22" s="122" t="str">
        <f t="shared" ca="1" si="0"/>
        <v/>
      </c>
      <c r="H22" s="27" t="str">
        <f>IF($B22=0,"",IF(OR($B22=PriceList!$B$156,$B22=PriceList!$B$157,$B22=PriceList!$B$161),PriceList!$B$128,IF(OR($C$15="",$C$15=PriceList!$B$124),PriceList!$B$129,IF(OR($B22=PriceList!$B$154,$B22=PriceList!$B$155,$B22=PriceList!$B$163,$B22=PriceList!$B$164),$C$15,PriceList!$B$129))))</f>
        <v/>
      </c>
      <c r="I22" s="27" t="str">
        <f>IF($B22="","",IF(OR($H22=PriceList!$B$129,$H22=PriceList!$B$128),PriceList!$B$179,IF(OR($B22=PriceList!$B$154,$E22=PriceList!$B$193,$C22=PriceList!$B$5),PriceList!$B$180,IF(AND(OR($B22=PriceList!$B$163,$B22=PriceList!$B$164,ISNUMBER(SEARCH("180",$C22)),ISNUMBER(SEARCH("140",$C22)),ISNUMBER(SEARCH("200",$C22))),$E22=PriceList!$B$191),PriceList!$B$186,IF(AND(OR($B22=PriceList!$B$163,$B22=PriceList!$B$164,ISNUMBER(SEARCH("180",$C22)),ISNUMBER(SEARCH("140",$C22)),ISNUMBER(SEARCH("200",$C22))),$E22=PriceList!$B$192),PriceList!$B$185,IF(AND($B22=PriceList!$B$155,$E22=PriceList!$B$191),PriceList!$B$182,IF(AND(B22=PriceList!$B$155,E22=PriceList!$B$192),PriceList!$B$181,IF(AND($B22=PriceList!$B$156,$E22=PriceList!$B$191),PriceList!$B$184,IF(AND(B22=PriceList!$B$156,E22=PriceList!$B$192),PriceList!$B$183,IF(AND($B22=PriceList!$B$157,$H22&lt;&gt;PriceList!$B$128),PriceList!$B$180,PriceList!$B$179))))))))))</f>
        <v/>
      </c>
      <c r="J22" s="95" t="str">
        <f>IF($H22="","",VLOOKUP($H22,HandleLookup[],2,FALSE))</f>
        <v/>
      </c>
      <c r="K22" s="95" t="str">
        <f t="shared" ca="1" si="1"/>
        <v/>
      </c>
      <c r="L22" s="106" t="str">
        <f>IF($B22=PriceList!$B$163,"",IF(AND($B22=PriceList!$B$155,OR($C22="60x40",C22="60x60",C22="60x80")),"NB! Plywood is happier as drawers if possible.", IF(OR($C22="40x140",C22="40x180",C22="40x200",C22="60x140",C22="60x180",C22="60x200"),"NB! We recommend using MDF Doors for sizes over 120cm","")))</f>
        <v/>
      </c>
      <c r="M22" s="72" t="str">
        <f ca="1">IF(OR($B22="",$C$14=PriceList!$B$175),"", $F22*$N22+$F22*VLOOKUP($C22,INDIRECT($B22&amp;"Lookup"), $E$11,FALSE))</f>
        <v/>
      </c>
      <c r="N22">
        <f>IF(OR($C$12=PriceList!$B$167,$C$14=PriceList!$B$175),0,IF($H22=PriceList!$B$125,PriceList!$D$125,IF($H22=PriceList!$B$126,PriceList!$D$126,0)))</f>
        <v>0</v>
      </c>
    </row>
    <row r="23" spans="1:14" ht="15" customHeight="1" x14ac:dyDescent="0.5">
      <c r="A23" s="203"/>
      <c r="B23" s="146"/>
      <c r="C23" s="180"/>
      <c r="D23" s="181"/>
      <c r="E23" s="27" t="str">
        <f>IF($B23=0,"",IF($C23=PriceList!$B$19,PriceList!$B$190,IF(OR($B23=PriceList!$B$155,$B23=PriceList!$B$156,$B23=PriceList!$B$163,$B23=PriceList!$B$164),"",PriceList!$B$190)))</f>
        <v/>
      </c>
      <c r="F23" s="27"/>
      <c r="G23" s="122" t="str">
        <f t="shared" ca="1" si="0"/>
        <v/>
      </c>
      <c r="H23" s="27" t="str">
        <f>IF($B23=0,"",IF(OR($B23=PriceList!$B$156,$B23=PriceList!$B$157,$B23=PriceList!$B$161),PriceList!$B$128,IF(OR($C$15="",$C$15=PriceList!$B$124),PriceList!$B$129,IF(OR($B23=PriceList!$B$154,$B23=PriceList!$B$155,$B23=PriceList!$B$163,$B23=PriceList!$B$164),$C$15,PriceList!$B$129))))</f>
        <v/>
      </c>
      <c r="I23" s="27" t="str">
        <f>IF($B23="","",IF(OR($H23=PriceList!$B$129,$H23=PriceList!$B$128),PriceList!$B$179,IF(OR($B23=PriceList!$B$154,$E23=PriceList!$B$193,$C23=PriceList!$B$5),PriceList!$B$180,IF(AND(OR($B23=PriceList!$B$163,$B23=PriceList!$B$164,ISNUMBER(SEARCH("180",$C23)),ISNUMBER(SEARCH("140",$C23)),ISNUMBER(SEARCH("200",$C23))),$E23=PriceList!$B$191),PriceList!$B$186,IF(AND(OR($B23=PriceList!$B$163,$B23=PriceList!$B$164,ISNUMBER(SEARCH("180",$C23)),ISNUMBER(SEARCH("140",$C23)),ISNUMBER(SEARCH("200",$C23))),$E23=PriceList!$B$192),PriceList!$B$185,IF(AND($B23=PriceList!$B$155,$E23=PriceList!$B$191),PriceList!$B$182,IF(AND(B23=PriceList!$B$155,E23=PriceList!$B$192),PriceList!$B$181,IF(AND($B23=PriceList!$B$156,$E23=PriceList!$B$191),PriceList!$B$184,IF(AND(B23=PriceList!$B$156,E23=PriceList!$B$192),PriceList!$B$183,IF(AND($B23=PriceList!$B$157,$H23&lt;&gt;PriceList!$B$128),PriceList!$B$180,PriceList!$B$179))))))))))</f>
        <v/>
      </c>
      <c r="J23" s="95" t="str">
        <f>IF($H23="","",VLOOKUP($H23,HandleLookup[],2,FALSE))</f>
        <v/>
      </c>
      <c r="K23" s="95" t="str">
        <f t="shared" ca="1" si="1"/>
        <v/>
      </c>
      <c r="L23" s="106" t="str">
        <f>IF($B23=PriceList!$B$163,"",IF(AND($B23=PriceList!$B$155,OR($C23="60x40",C23="60x60",C23="60x80")),"NB! Plywood is happier as drawers if possible.", IF(OR($C23="40x140",C23="40x180",C23="40x200",C23="60x140",C23="60x180",C23="60x200"),"NB! We recommend using MDF Doors for sizes over 120cm","")))</f>
        <v/>
      </c>
      <c r="M23" s="72" t="str">
        <f ca="1">IF(OR($B23="",$C$14=PriceList!$B$175),"", $F23*$N23+$F23*VLOOKUP($C23,INDIRECT($B23&amp;"Lookup"), $E$11,FALSE))</f>
        <v/>
      </c>
      <c r="N23">
        <f>IF(OR($C$12=PriceList!$B$167,$C$14=PriceList!$B$175),0,IF($H23=PriceList!$B$125,PriceList!$D$125,IF($H23=PriceList!$B$126,PriceList!$D$126,0)))</f>
        <v>0</v>
      </c>
    </row>
    <row r="24" spans="1:14" ht="15" customHeight="1" x14ac:dyDescent="0.5">
      <c r="A24" s="203"/>
      <c r="B24" s="146"/>
      <c r="C24" s="180"/>
      <c r="D24" s="181"/>
      <c r="E24" s="27" t="str">
        <f>IF($B24=0,"",IF($C24=PriceList!$B$19,PriceList!$B$190,IF(OR($B24=PriceList!$B$155,$B24=PriceList!$B$156,$B24=PriceList!$B$163,$B24=PriceList!$B$164),"",PriceList!$B$190)))</f>
        <v/>
      </c>
      <c r="F24" s="27"/>
      <c r="G24" s="122" t="str">
        <f t="shared" ca="1" si="0"/>
        <v/>
      </c>
      <c r="H24" s="27" t="str">
        <f>IF($B24=0,"",IF(OR($B24=PriceList!$B$156,$B24=PriceList!$B$157,$B24=PriceList!$B$161),PriceList!$B$128,IF(OR($C$15="",$C$15=PriceList!$B$124),PriceList!$B$129,IF(OR($B24=PriceList!$B$154,$B24=PriceList!$B$155,$B24=PriceList!$B$163,$B24=PriceList!$B$164),$C$15,PriceList!$B$129))))</f>
        <v/>
      </c>
      <c r="I24" s="27" t="str">
        <f>IF($B24="","",IF(OR($H24=PriceList!$B$129,$H24=PriceList!$B$128),PriceList!$B$179,IF(OR($B24=PriceList!$B$154,$E24=PriceList!$B$193,$C24=PriceList!$B$5),PriceList!$B$180,IF(AND(OR($B24=PriceList!$B$163,$B24=PriceList!$B$164,ISNUMBER(SEARCH("180",$C24)),ISNUMBER(SEARCH("140",$C24)),ISNUMBER(SEARCH("200",$C24))),$E24=PriceList!$B$191),PriceList!$B$186,IF(AND(OR($B24=PriceList!$B$163,$B24=PriceList!$B$164,ISNUMBER(SEARCH("180",$C24)),ISNUMBER(SEARCH("140",$C24)),ISNUMBER(SEARCH("200",$C24))),$E24=PriceList!$B$192),PriceList!$B$185,IF(AND($B24=PriceList!$B$155,$E24=PriceList!$B$191),PriceList!$B$182,IF(AND(B24=PriceList!$B$155,E24=PriceList!$B$192),PriceList!$B$181,IF(AND($B24=PriceList!$B$156,$E24=PriceList!$B$191),PriceList!$B$184,IF(AND(B24=PriceList!$B$156,E24=PriceList!$B$192),PriceList!$B$183,IF(AND($B24=PriceList!$B$157,$H24&lt;&gt;PriceList!$B$128),PriceList!$B$180,PriceList!$B$179))))))))))</f>
        <v/>
      </c>
      <c r="J24" s="95" t="str">
        <f>IF($H24="","",VLOOKUP($H24,HandleLookup[],2,FALSE))</f>
        <v/>
      </c>
      <c r="K24" s="95" t="str">
        <f t="shared" ca="1" si="1"/>
        <v/>
      </c>
      <c r="L24" s="106" t="str">
        <f>IF($B24=PriceList!$B$163,"",IF(AND($B24=PriceList!$B$155,OR($C24="60x40",C24="60x60",C24="60x80")),"NB! Plywood is happier as drawers if possible.", IF(OR($C24="40x140",C24="40x180",C24="40x200",C24="60x140",C24="60x180",C24="60x200"),"NB! We recommend using MDF Doors for sizes over 120cm","")))</f>
        <v/>
      </c>
      <c r="M24" s="72" t="str">
        <f ca="1">IF(OR($B24="",$C$14=PriceList!$B$175),"", $F24*$N24+$F24*VLOOKUP($C24,INDIRECT($B24&amp;"Lookup"), $E$11,FALSE))</f>
        <v/>
      </c>
      <c r="N24">
        <f>IF(OR($C$12=PriceList!$B$167,$C$14=PriceList!$B$175),0,IF($H24=PriceList!$B$125,PriceList!$D$125,IF($H24=PriceList!$B$126,PriceList!$D$126,0)))</f>
        <v>0</v>
      </c>
    </row>
    <row r="25" spans="1:14" ht="15" customHeight="1" x14ac:dyDescent="0.5">
      <c r="A25" s="203"/>
      <c r="B25" s="146"/>
      <c r="C25" s="180"/>
      <c r="D25" s="181"/>
      <c r="E25" s="27" t="str">
        <f>IF($B25=0,"",IF($C25=PriceList!$B$19,PriceList!$B$190,IF(OR($B25=PriceList!$B$155,$B25=PriceList!$B$156,$B25=PriceList!$B$163,$B25=PriceList!$B$164),"",PriceList!$B$190)))</f>
        <v/>
      </c>
      <c r="F25" s="27"/>
      <c r="G25" s="122" t="str">
        <f t="shared" ca="1" si="0"/>
        <v/>
      </c>
      <c r="H25" s="27" t="str">
        <f>IF($B25=0,"",IF(OR($B25=PriceList!$B$156,$B25=PriceList!$B$157,$B25=PriceList!$B$161),PriceList!$B$128,IF(OR($C$15="",$C$15=PriceList!$B$124),PriceList!$B$129,IF(OR($B25=PriceList!$B$154,$B25=PriceList!$B$155,$B25=PriceList!$B$163,$B25=PriceList!$B$164),$C$15,PriceList!$B$129))))</f>
        <v/>
      </c>
      <c r="I25" s="27" t="str">
        <f>IF($B25="","",IF(OR($H25=PriceList!$B$129,$H25=PriceList!$B$128),PriceList!$B$179,IF(OR($B25=PriceList!$B$154,$E25=PriceList!$B$193,$C25=PriceList!$B$5),PriceList!$B$180,IF(AND(OR($B25=PriceList!$B$163,$B25=PriceList!$B$164,ISNUMBER(SEARCH("180",$C25)),ISNUMBER(SEARCH("140",$C25)),ISNUMBER(SEARCH("200",$C25))),$E25=PriceList!$B$191),PriceList!$B$186,IF(AND(OR($B25=PriceList!$B$163,$B25=PriceList!$B$164,ISNUMBER(SEARCH("180",$C25)),ISNUMBER(SEARCH("140",$C25)),ISNUMBER(SEARCH("200",$C25))),$E25=PriceList!$B$192),PriceList!$B$185,IF(AND($B25=PriceList!$B$155,$E25=PriceList!$B$191),PriceList!$B$182,IF(AND(B25=PriceList!$B$155,E25=PriceList!$B$192),PriceList!$B$181,IF(AND($B25=PriceList!$B$156,$E25=PriceList!$B$191),PriceList!$B$184,IF(AND(B25=PriceList!$B$156,E25=PriceList!$B$192),PriceList!$B$183,IF(AND($B25=PriceList!$B$157,$H25&lt;&gt;PriceList!$B$128),PriceList!$B$180,PriceList!$B$179))))))))))</f>
        <v/>
      </c>
      <c r="J25" s="95" t="str">
        <f>IF($H25="","",VLOOKUP($H25,HandleLookup[],2,FALSE))</f>
        <v/>
      </c>
      <c r="K25" s="95" t="str">
        <f t="shared" ca="1" si="1"/>
        <v/>
      </c>
      <c r="L25" s="106" t="str">
        <f>IF($B25=PriceList!$B$163,"",IF(AND($B25=PriceList!$B$155,OR($C25="60x40",C25="60x60",C25="60x80")),"NB! Plywood is happier as drawers if possible.", IF(OR($C25="40x140",C25="40x180",C25="40x200",C25="60x140",C25="60x180",C25="60x200"),"NB! We recommend using MDF Doors for sizes over 120cm","")))</f>
        <v/>
      </c>
      <c r="M25" s="72" t="str">
        <f ca="1">IF(OR($B25="",$C$14=PriceList!$B$175),"", $F25*$N25+$F25*VLOOKUP($C25,INDIRECT($B25&amp;"Lookup"), $E$11,FALSE))</f>
        <v/>
      </c>
      <c r="N25">
        <f>IF(OR($C$12=PriceList!$B$167,$C$14=PriceList!$B$175),0,IF($H25=PriceList!$B$125,PriceList!$D$125,IF($H25=PriceList!$B$126,PriceList!$D$126,0)))</f>
        <v>0</v>
      </c>
    </row>
    <row r="26" spans="1:14" ht="15" customHeight="1" x14ac:dyDescent="0.5">
      <c r="A26" s="203"/>
      <c r="B26" s="146"/>
      <c r="C26" s="180"/>
      <c r="D26" s="181"/>
      <c r="E26" s="27" t="str">
        <f>IF($B26=0,"",IF($C26=PriceList!$B$19,PriceList!$B$190,IF(OR($B26=PriceList!$B$155,$B26=PriceList!$B$156,$B26=PriceList!$B$163,$B26=PriceList!$B$164),"",PriceList!$B$190)))</f>
        <v/>
      </c>
      <c r="F26" s="27"/>
      <c r="G26" s="122" t="str">
        <f t="shared" ca="1" si="0"/>
        <v/>
      </c>
      <c r="H26" s="27" t="str">
        <f>IF($B26=0,"",IF(OR($B26=PriceList!$B$156,$B26=PriceList!$B$157,$B26=PriceList!$B$161),PriceList!$B$128,IF(OR($C$15="",$C$15=PriceList!$B$124),PriceList!$B$129,IF(OR($B26=PriceList!$B$154,$B26=PriceList!$B$155,$B26=PriceList!$B$163,$B26=PriceList!$B$164),$C$15,PriceList!$B$129))))</f>
        <v/>
      </c>
      <c r="I26" s="27" t="str">
        <f>IF($B26="","",IF(OR($H26=PriceList!$B$129,$H26=PriceList!$B$128),PriceList!$B$179,IF(OR($B26=PriceList!$B$154,$E26=PriceList!$B$193,$C26=PriceList!$B$5),PriceList!$B$180,IF(AND(OR($B26=PriceList!$B$163,$B26=PriceList!$B$164,ISNUMBER(SEARCH("180",$C26)),ISNUMBER(SEARCH("140",$C26)),ISNUMBER(SEARCH("200",$C26))),$E26=PriceList!$B$191),PriceList!$B$186,IF(AND(OR($B26=PriceList!$B$163,$B26=PriceList!$B$164,ISNUMBER(SEARCH("180",$C26)),ISNUMBER(SEARCH("140",$C26)),ISNUMBER(SEARCH("200",$C26))),$E26=PriceList!$B$192),PriceList!$B$185,IF(AND($B26=PriceList!$B$155,$E26=PriceList!$B$191),PriceList!$B$182,IF(AND(B26=PriceList!$B$155,E26=PriceList!$B$192),PriceList!$B$181,IF(AND($B26=PriceList!$B$156,$E26=PriceList!$B$191),PriceList!$B$184,IF(AND(B26=PriceList!$B$156,E26=PriceList!$B$192),PriceList!$B$183,IF(AND($B26=PriceList!$B$157,$H26&lt;&gt;PriceList!$B$128),PriceList!$B$180,PriceList!$B$179))))))))))</f>
        <v/>
      </c>
      <c r="J26" s="95" t="str">
        <f>IF($H26="","",VLOOKUP($H26,HandleLookup[],2,FALSE))</f>
        <v/>
      </c>
      <c r="K26" s="95" t="str">
        <f t="shared" ca="1" si="1"/>
        <v/>
      </c>
      <c r="L26" s="106" t="str">
        <f>IF($B26=PriceList!$B$163,"",IF(AND($B26=PriceList!$B$155,OR($C26="60x40",C26="60x60",C26="60x80")),"NB! Plywood is happier as drawers if possible.", IF(OR($C26="40x140",C26="40x180",C26="40x200",C26="60x140",C26="60x180",C26="60x200"),"NB! We recommend using MDF Doors for sizes over 120cm","")))</f>
        <v/>
      </c>
      <c r="M26" s="72" t="str">
        <f ca="1">IF(OR($B26="",$C$14=PriceList!$B$175),"", $F26*$N26+$F26*VLOOKUP($C26,INDIRECT($B26&amp;"Lookup"), $E$11,FALSE))</f>
        <v/>
      </c>
      <c r="N26">
        <f>IF(OR($C$12=PriceList!$B$167,$C$14=PriceList!$B$175),0,IF($H26=PriceList!$B$125,PriceList!$D$125,IF($H26=PriceList!$B$126,PriceList!$D$126,0)))</f>
        <v>0</v>
      </c>
    </row>
    <row r="27" spans="1:14" ht="15" customHeight="1" x14ac:dyDescent="0.5">
      <c r="A27" s="203"/>
      <c r="B27" s="146"/>
      <c r="C27" s="180"/>
      <c r="D27" s="181"/>
      <c r="E27" s="27" t="str">
        <f>IF($B27=0,"",IF($C27=PriceList!$B$19,PriceList!$B$190,IF(OR($B27=PriceList!$B$155,$B27=PriceList!$B$156,$B27=PriceList!$B$163,$B27=PriceList!$B$164),"",PriceList!$B$190)))</f>
        <v/>
      </c>
      <c r="F27" s="27"/>
      <c r="G27" s="122" t="str">
        <f t="shared" ca="1" si="0"/>
        <v/>
      </c>
      <c r="H27" s="27" t="str">
        <f>IF($B27=0,"",IF(OR($B27=PriceList!$B$156,$B27=PriceList!$B$157,$B27=PriceList!$B$161),PriceList!$B$128,IF(OR($C$15="",$C$15=PriceList!$B$124),PriceList!$B$129,IF(OR($B27=PriceList!$B$154,$B27=PriceList!$B$155,$B27=PriceList!$B$163,$B27=PriceList!$B$164),$C$15,PriceList!$B$129))))</f>
        <v/>
      </c>
      <c r="I27" s="27" t="str">
        <f>IF($B27="","",IF(OR($H27=PriceList!$B$129,$H27=PriceList!$B$128),PriceList!$B$179,IF(OR($B27=PriceList!$B$154,$E27=PriceList!$B$193,$C27=PriceList!$B$5),PriceList!$B$180,IF(AND(OR($B27=PriceList!$B$163,$B27=PriceList!$B$164,ISNUMBER(SEARCH("180",$C27)),ISNUMBER(SEARCH("140",$C27)),ISNUMBER(SEARCH("200",$C27))),$E27=PriceList!$B$191),PriceList!$B$186,IF(AND(OR($B27=PriceList!$B$163,$B27=PriceList!$B$164,ISNUMBER(SEARCH("180",$C27)),ISNUMBER(SEARCH("140",$C27)),ISNUMBER(SEARCH("200",$C27))),$E27=PriceList!$B$192),PriceList!$B$185,IF(AND($B27=PriceList!$B$155,$E27=PriceList!$B$191),PriceList!$B$182,IF(AND(B27=PriceList!$B$155,E27=PriceList!$B$192),PriceList!$B$181,IF(AND($B27=PriceList!$B$156,$E27=PriceList!$B$191),PriceList!$B$184,IF(AND(B27=PriceList!$B$156,E27=PriceList!$B$192),PriceList!$B$183,IF(AND($B27=PriceList!$B$157,$H27&lt;&gt;PriceList!$B$128),PriceList!$B$180,PriceList!$B$179))))))))))</f>
        <v/>
      </c>
      <c r="J27" s="95" t="str">
        <f>IF($H27="","",VLOOKUP($H27,HandleLookup[],2,FALSE))</f>
        <v/>
      </c>
      <c r="K27" s="95" t="str">
        <f t="shared" ca="1" si="1"/>
        <v/>
      </c>
      <c r="L27" s="106" t="str">
        <f>IF($B27=PriceList!$B$163,"",IF(AND($B27=PriceList!$B$155,OR($C27="60x40",C27="60x60",C27="60x80")),"NB! Plywood is happier as drawers if possible.", IF(OR($C27="40x140",C27="40x180",C27="40x200",C27="60x140",C27="60x180",C27="60x200"),"NB! We recommend using MDF Doors for sizes over 120cm","")))</f>
        <v/>
      </c>
      <c r="M27" s="72" t="str">
        <f ca="1">IF(OR($B27="",$C$14=PriceList!$B$175),"", $F27*$N27+$F27*VLOOKUP($C27,INDIRECT($B27&amp;"Lookup"), $E$11,FALSE))</f>
        <v/>
      </c>
      <c r="N27">
        <f>IF(OR($C$12=PriceList!$B$167,$C$14=PriceList!$B$175),0,IF($H27=PriceList!$B$125,PriceList!$D$125,IF($H27=PriceList!$B$126,PriceList!$D$126,0)))</f>
        <v>0</v>
      </c>
    </row>
    <row r="28" spans="1:14" ht="15" customHeight="1" x14ac:dyDescent="0.5">
      <c r="A28" s="203"/>
      <c r="B28" s="146"/>
      <c r="C28" s="180"/>
      <c r="D28" s="181"/>
      <c r="E28" s="27" t="str">
        <f>IF($B28=0,"",IF($C28=PriceList!$B$19,PriceList!$B$190,IF(OR($B28=PriceList!$B$155,$B28=PriceList!$B$156,$B28=PriceList!$B$163,$B28=PriceList!$B$164),"",PriceList!$B$190)))</f>
        <v/>
      </c>
      <c r="F28" s="27"/>
      <c r="G28" s="122" t="str">
        <f t="shared" ca="1" si="0"/>
        <v/>
      </c>
      <c r="H28" s="27" t="str">
        <f>IF($B28=0,"",IF(OR($B28=PriceList!$B$156,$B28=PriceList!$B$157,$B28=PriceList!$B$161),PriceList!$B$128,IF(OR($C$15="",$C$15=PriceList!$B$124),PriceList!$B$129,IF(OR($B28=PriceList!$B$154,$B28=PriceList!$B$155,$B28=PriceList!$B$163,$B28=PriceList!$B$164),$C$15,PriceList!$B$129))))</f>
        <v/>
      </c>
      <c r="I28" s="27" t="str">
        <f>IF($B28="","",IF(OR($H28=PriceList!$B$129,$H28=PriceList!$B$128),PriceList!$B$179,IF(OR($B28=PriceList!$B$154,$E28=PriceList!$B$193,$C28=PriceList!$B$5),PriceList!$B$180,IF(AND(OR($B28=PriceList!$B$163,$B28=PriceList!$B$164,ISNUMBER(SEARCH("180",$C28)),ISNUMBER(SEARCH("140",$C28)),ISNUMBER(SEARCH("200",$C28))),$E28=PriceList!$B$191),PriceList!$B$186,IF(AND(OR($B28=PriceList!$B$163,$B28=PriceList!$B$164,ISNUMBER(SEARCH("180",$C28)),ISNUMBER(SEARCH("140",$C28)),ISNUMBER(SEARCH("200",$C28))),$E28=PriceList!$B$192),PriceList!$B$185,IF(AND($B28=PriceList!$B$155,$E28=PriceList!$B$191),PriceList!$B$182,IF(AND(B28=PriceList!$B$155,E28=PriceList!$B$192),PriceList!$B$181,IF(AND($B28=PriceList!$B$156,$E28=PriceList!$B$191),PriceList!$B$184,IF(AND(B28=PriceList!$B$156,E28=PriceList!$B$192),PriceList!$B$183,IF(AND($B28=PriceList!$B$157,$H28&lt;&gt;PriceList!$B$128),PriceList!$B$180,PriceList!$B$179))))))))))</f>
        <v/>
      </c>
      <c r="J28" s="95" t="str">
        <f>IF($H28="","",VLOOKUP($H28,HandleLookup[],2,FALSE))</f>
        <v/>
      </c>
      <c r="K28" s="95" t="str">
        <f t="shared" ca="1" si="1"/>
        <v/>
      </c>
      <c r="L28" s="106" t="str">
        <f>IF($B28=PriceList!$B$163,"",IF(AND($B28=PriceList!$B$155,OR($C28="60x40",C28="60x60",C28="60x80")),"NB! Plywood is happier as drawers if possible.", IF(OR($C28="40x140",C28="40x180",C28="40x200",C28="60x140",C28="60x180",C28="60x200"),"NB! We recommend using MDF Doors for sizes over 120cm","")))</f>
        <v/>
      </c>
      <c r="M28" s="72" t="str">
        <f ca="1">IF(OR($B28="",$C$14=PriceList!$B$175),"", $F28*$N28+$F28*VLOOKUP($C28,INDIRECT($B28&amp;"Lookup"), $E$11,FALSE))</f>
        <v/>
      </c>
      <c r="N28">
        <f>IF(OR($C$12=PriceList!$B$167,$C$14=PriceList!$B$175),0,IF($H28=PriceList!$B$125,PriceList!$D$125,IF($H28=PriceList!$B$126,PriceList!$D$126,0)))</f>
        <v>0</v>
      </c>
    </row>
    <row r="29" spans="1:14" ht="15" customHeight="1" x14ac:dyDescent="0.5">
      <c r="A29" s="203"/>
      <c r="B29" s="146"/>
      <c r="C29" s="180"/>
      <c r="D29" s="181"/>
      <c r="E29" s="27" t="str">
        <f>IF($B29=0,"",IF($C29=PriceList!$B$19,PriceList!$B$190,IF(OR($B29=PriceList!$B$155,$B29=PriceList!$B$156,$B29=PriceList!$B$163,$B29=PriceList!$B$164),"",PriceList!$B$190)))</f>
        <v/>
      </c>
      <c r="F29" s="27"/>
      <c r="G29" s="122" t="str">
        <f t="shared" ca="1" si="0"/>
        <v/>
      </c>
      <c r="H29" s="27" t="str">
        <f>IF($B29=0,"",IF(OR($B29=PriceList!$B$156,$B29=PriceList!$B$157,$B29=PriceList!$B$161),PriceList!$B$128,IF(OR($C$15="",$C$15=PriceList!$B$124),PriceList!$B$129,IF(OR($B29=PriceList!$B$154,$B29=PriceList!$B$155,$B29=PriceList!$B$163,$B29=PriceList!$B$164),$C$15,PriceList!$B$129))))</f>
        <v/>
      </c>
      <c r="I29" s="27" t="str">
        <f>IF($B29="","",IF(OR($H29=PriceList!$B$129,$H29=PriceList!$B$128),PriceList!$B$179,IF(OR($B29=PriceList!$B$154,$E29=PriceList!$B$193,$C29=PriceList!$B$5),PriceList!$B$180,IF(AND(OR($B29=PriceList!$B$163,$B29=PriceList!$B$164,ISNUMBER(SEARCH("180",$C29)),ISNUMBER(SEARCH("140",$C29)),ISNUMBER(SEARCH("200",$C29))),$E29=PriceList!$B$191),PriceList!$B$186,IF(AND(OR($B29=PriceList!$B$163,$B29=PriceList!$B$164,ISNUMBER(SEARCH("180",$C29)),ISNUMBER(SEARCH("140",$C29)),ISNUMBER(SEARCH("200",$C29))),$E29=PriceList!$B$192),PriceList!$B$185,IF(AND($B29=PriceList!$B$155,$E29=PriceList!$B$191),PriceList!$B$182,IF(AND(B29=PriceList!$B$155,E29=PriceList!$B$192),PriceList!$B$181,IF(AND($B29=PriceList!$B$156,$E29=PriceList!$B$191),PriceList!$B$184,IF(AND(B29=PriceList!$B$156,E29=PriceList!$B$192),PriceList!$B$183,IF(AND($B29=PriceList!$B$157,$H29&lt;&gt;PriceList!$B$128),PriceList!$B$180,PriceList!$B$179))))))))))</f>
        <v/>
      </c>
      <c r="J29" s="95" t="str">
        <f>IF($H29="","",VLOOKUP($H29,HandleLookup[],2,FALSE))</f>
        <v/>
      </c>
      <c r="K29" s="95" t="str">
        <f t="shared" ca="1" si="1"/>
        <v/>
      </c>
      <c r="L29" s="106" t="str">
        <f>IF($B29=PriceList!$B$163,"",IF(AND($B29=PriceList!$B$155,OR($C29="60x40",C29="60x60",C29="60x80")),"NB! Plywood is happier as drawers if possible.", IF(OR($C29="40x140",C29="40x180",C29="40x200",C29="60x140",C29="60x180",C29="60x200"),"NB! We recommend using MDF Doors for sizes over 120cm","")))</f>
        <v/>
      </c>
      <c r="M29" s="72" t="str">
        <f ca="1">IF(OR($B29="",$C$14=PriceList!$B$175),"", $F29*$N29+$F29*VLOOKUP($C29,INDIRECT($B29&amp;"Lookup"), $E$11,FALSE))</f>
        <v/>
      </c>
      <c r="N29">
        <f>IF(OR($C$12=PriceList!$B$167,$C$14=PriceList!$B$175),0,IF($H29=PriceList!$B$125,PriceList!$D$125,IF($H29=PriceList!$B$126,PriceList!$D$126,0)))</f>
        <v>0</v>
      </c>
    </row>
    <row r="30" spans="1:14" ht="15" customHeight="1" x14ac:dyDescent="0.5">
      <c r="A30" s="203"/>
      <c r="B30" s="94"/>
      <c r="C30" s="170"/>
      <c r="D30" s="171"/>
      <c r="E30" s="27" t="str">
        <f>IF($B30=0,"",IF($C30=PriceList!$B$19,PriceList!$B$190,IF(OR($B30=PriceList!$B$155,$B30=PriceList!$B$156,$B30=PriceList!$B$163,$B30=PriceList!$B$164),"",PriceList!$B$190)))</f>
        <v/>
      </c>
      <c r="F30" s="27"/>
      <c r="G30" s="122" t="str">
        <f t="shared" ca="1" si="0"/>
        <v/>
      </c>
      <c r="H30" s="27" t="str">
        <f>IF($B30=0,"",IF(OR($B30=PriceList!$B$156,$B30=PriceList!$B$157,$B30=PriceList!$B$161),PriceList!$B$128,IF(OR($C$15="",$C$15=PriceList!$B$124),PriceList!$B$129,IF(OR($B30=PriceList!$B$154,$B30=PriceList!$B$155,$B30=PriceList!$B$163,$B30=PriceList!$B$164),$C$15,PriceList!$B$129))))</f>
        <v/>
      </c>
      <c r="I30" s="27" t="str">
        <f>IF($B30="","",IF(OR($H30=PriceList!$B$129,$H30=PriceList!$B$128),PriceList!$B$179,IF(OR($B30=PriceList!$B$154,$E30=PriceList!$B$193,$C30=PriceList!$B$5),PriceList!$B$180,IF(AND(OR($B30=PriceList!$B$163,$B30=PriceList!$B$164,ISNUMBER(SEARCH("180",$C30)),ISNUMBER(SEARCH("140",$C30)),ISNUMBER(SEARCH("200",$C30))),$E30=PriceList!$B$191),PriceList!$B$186,IF(AND(OR($B30=PriceList!$B$163,$B30=PriceList!$B$164,ISNUMBER(SEARCH("180",$C30)),ISNUMBER(SEARCH("140",$C30)),ISNUMBER(SEARCH("200",$C30))),$E30=PriceList!$B$192),PriceList!$B$185,IF(AND($B30=PriceList!$B$155,$E30=PriceList!$B$191),PriceList!$B$182,IF(AND(B30=PriceList!$B$155,E30=PriceList!$B$192),PriceList!$B$181,IF(AND($B30=PriceList!$B$156,$E30=PriceList!$B$191),PriceList!$B$184,IF(AND(B30=PriceList!$B$156,E30=PriceList!$B$192),PriceList!$B$183,IF(AND($B30=PriceList!$B$157,$H30&lt;&gt;PriceList!$B$128),PriceList!$B$180,PriceList!$B$179))))))))))</f>
        <v/>
      </c>
      <c r="J30" s="95" t="str">
        <f>IF($H30="","",VLOOKUP($H30,HandleLookup[],2,FALSE))</f>
        <v/>
      </c>
      <c r="K30" s="95" t="str">
        <f t="shared" ca="1" si="1"/>
        <v/>
      </c>
      <c r="L30" s="106" t="str">
        <f>IF($B30=PriceList!$B$163,"",IF(AND($B30=PriceList!$B$155,OR($C30="60x40",C30="60x60",C30="60x80")),"NB! Plywood is happier as drawers if possible.", IF(OR($C30="40x140",C30="40x180",C30="40x200",C30="60x140",C30="60x180",C30="60x200"),"NB! We recommend using MDF Doors for sizes over 120cm","")))</f>
        <v/>
      </c>
      <c r="M30" s="72" t="str">
        <f ca="1">IF(OR($B30="",$C$14=PriceList!$B$175),"", $F30*$N30+$F30*VLOOKUP($C30,INDIRECT($B30&amp;"Lookup"), $E$11,FALSE))</f>
        <v/>
      </c>
      <c r="N30">
        <f>IF(OR($C$12=PriceList!$B$167,$C$14=PriceList!$B$175),0,IF($H30=PriceList!$B$125,PriceList!$D$125,IF($H30=PriceList!$B$126,PriceList!$D$126,0)))</f>
        <v>0</v>
      </c>
    </row>
    <row r="31" spans="1:14" ht="15" customHeight="1" x14ac:dyDescent="0.5">
      <c r="A31" s="203"/>
      <c r="B31" s="94"/>
      <c r="C31" s="170"/>
      <c r="D31" s="171"/>
      <c r="E31" s="27" t="str">
        <f>IF($B31=0,"",IF($C31=PriceList!$B$19,PriceList!$B$190,IF(OR($B31=PriceList!$B$155,$B31=PriceList!$B$156,$B31=PriceList!$B$163,$B31=PriceList!$B$164),"",PriceList!$B$190)))</f>
        <v/>
      </c>
      <c r="F31" s="27"/>
      <c r="G31" s="122" t="str">
        <f t="shared" ca="1" si="0"/>
        <v/>
      </c>
      <c r="H31" s="27" t="str">
        <f>IF($B31=0,"",IF(OR($B31=PriceList!$B$156,$B31=PriceList!$B$157,$B31=PriceList!$B$161),PriceList!$B$128,IF(OR($C$15="",$C$15=PriceList!$B$124),PriceList!$B$129,IF(OR($B31=PriceList!$B$154,$B31=PriceList!$B$155,$B31=PriceList!$B$163,$B31=PriceList!$B$164),$C$15,PriceList!$B$129))))</f>
        <v/>
      </c>
      <c r="I31" s="27" t="str">
        <f>IF($B31="","",IF(OR($H31=PriceList!$B$129,$H31=PriceList!$B$128),PriceList!$B$179,IF(OR($B31=PriceList!$B$154,$E31=PriceList!$B$193,$C31=PriceList!$B$5),PriceList!$B$180,IF(AND(OR($B31=PriceList!$B$163,$B31=PriceList!$B$164,ISNUMBER(SEARCH("180",$C31)),ISNUMBER(SEARCH("140",$C31)),ISNUMBER(SEARCH("200",$C31))),$E31=PriceList!$B$191),PriceList!$B$186,IF(AND(OR($B31=PriceList!$B$163,$B31=PriceList!$B$164,ISNUMBER(SEARCH("180",$C31)),ISNUMBER(SEARCH("140",$C31)),ISNUMBER(SEARCH("200",$C31))),$E31=PriceList!$B$192),PriceList!$B$185,IF(AND($B31=PriceList!$B$155,$E31=PriceList!$B$191),PriceList!$B$182,IF(AND(B31=PriceList!$B$155,E31=PriceList!$B$192),PriceList!$B$181,IF(AND($B31=PriceList!$B$156,$E31=PriceList!$B$191),PriceList!$B$184,IF(AND(B31=PriceList!$B$156,E31=PriceList!$B$192),PriceList!$B$183,IF(AND($B31=PriceList!$B$157,$H31&lt;&gt;PriceList!$B$128),PriceList!$B$180,PriceList!$B$179))))))))))</f>
        <v/>
      </c>
      <c r="J31" s="95" t="str">
        <f>IF($H31="","",VLOOKUP($H31,HandleLookup[],2,FALSE))</f>
        <v/>
      </c>
      <c r="K31" s="95" t="str">
        <f t="shared" ca="1" si="1"/>
        <v/>
      </c>
      <c r="L31" s="106" t="str">
        <f>IF($B31=PriceList!$B$163,"",IF(AND($B31=PriceList!$B$155,OR($C31="60x40",C31="60x60",C31="60x80")),"NB! Plywood is happier as drawers if possible.", IF(OR($C31="40x140",C31="40x180",C31="40x200",C31="60x140",C31="60x180",C31="60x200"),"NB! We recommend using MDF Doors for sizes over 120cm","")))</f>
        <v/>
      </c>
      <c r="M31" s="72" t="str">
        <f ca="1">IF(OR($B31="",$C$14=PriceList!$B$175),"", $F31*$N31+$F31*VLOOKUP($C31,INDIRECT($B31&amp;"Lookup"), $E$11,FALSE))</f>
        <v/>
      </c>
      <c r="N31">
        <f>IF(OR($C$12=PriceList!$B$167,$C$14=PriceList!$B$175),0,IF($H31=PriceList!$B$125,PriceList!$D$125,IF($H31=PriceList!$B$126,PriceList!$D$126,0)))</f>
        <v>0</v>
      </c>
    </row>
    <row r="32" spans="1:14" ht="15" customHeight="1" x14ac:dyDescent="0.5">
      <c r="A32" s="203"/>
      <c r="B32" s="94"/>
      <c r="C32" s="170"/>
      <c r="D32" s="171"/>
      <c r="E32" s="27" t="str">
        <f>IF($B32=0,"",IF($C32=PriceList!$B$19,PriceList!$B$190,IF(OR($B32=PriceList!$B$155,$B32=PriceList!$B$156,$B32=PriceList!$B$163,$B32=PriceList!$B$164),"",PriceList!$B$190)))</f>
        <v/>
      </c>
      <c r="F32" s="27"/>
      <c r="G32" s="122" t="str">
        <f t="shared" ca="1" si="0"/>
        <v/>
      </c>
      <c r="H32" s="27" t="str">
        <f>IF($B32=0,"",IF(OR($B32=PriceList!$B$156,$B32=PriceList!$B$157,$B32=PriceList!$B$161),PriceList!$B$128,IF(OR($C$15="",$C$15=PriceList!$B$124),PriceList!$B$129,IF(OR($B32=PriceList!$B$154,$B32=PriceList!$B$155,$B32=PriceList!$B$163,$B32=PriceList!$B$164),$C$15,PriceList!$B$129))))</f>
        <v/>
      </c>
      <c r="I32" s="27" t="str">
        <f>IF($B32="","",IF(OR($H32=PriceList!$B$129,$H32=PriceList!$B$128),PriceList!$B$179,IF(OR($B32=PriceList!$B$154,$E32=PriceList!$B$193,$C32=PriceList!$B$5),PriceList!$B$180,IF(AND(OR($B32=PriceList!$B$163,$B32=PriceList!$B$164,ISNUMBER(SEARCH("180",$C32)),ISNUMBER(SEARCH("140",$C32)),ISNUMBER(SEARCH("200",$C32))),$E32=PriceList!$B$191),PriceList!$B$186,IF(AND(OR($B32=PriceList!$B$163,$B32=PriceList!$B$164,ISNUMBER(SEARCH("180",$C32)),ISNUMBER(SEARCH("140",$C32)),ISNUMBER(SEARCH("200",$C32))),$E32=PriceList!$B$192),PriceList!$B$185,IF(AND($B32=PriceList!$B$155,$E32=PriceList!$B$191),PriceList!$B$182,IF(AND(B32=PriceList!$B$155,E32=PriceList!$B$192),PriceList!$B$181,IF(AND($B32=PriceList!$B$156,$E32=PriceList!$B$191),PriceList!$B$184,IF(AND(B32=PriceList!$B$156,E32=PriceList!$B$192),PriceList!$B$183,IF(AND($B32=PriceList!$B$157,$H32&lt;&gt;PriceList!$B$128),PriceList!$B$180,PriceList!$B$179))))))))))</f>
        <v/>
      </c>
      <c r="J32" s="95" t="str">
        <f>IF($H32="","",VLOOKUP($H32,HandleLookup[],2,FALSE))</f>
        <v/>
      </c>
      <c r="K32" s="95" t="str">
        <f t="shared" ca="1" si="1"/>
        <v/>
      </c>
      <c r="L32" s="106" t="str">
        <f>IF($B32=PriceList!$B$163,"",IF(AND($B32=PriceList!$B$155,OR($C32="60x40",C32="60x60",C32="60x80")),"NB! Plywood is happier as drawers if possible.", IF(OR($C32="40x140",C32="40x180",C32="40x200",C32="60x140",C32="60x180",C32="60x200"),"NB! We recommend using MDF Doors for sizes over 120cm","")))</f>
        <v/>
      </c>
      <c r="M32" s="72" t="str">
        <f ca="1">IF(OR($B32="",$C$14=PriceList!$B$175),"", $F32*$N32+$F32*VLOOKUP($C32,INDIRECT($B32&amp;"Lookup"), $E$11,FALSE))</f>
        <v/>
      </c>
      <c r="N32">
        <f>IF(OR($C$12=PriceList!$B$167,$C$14=PriceList!$B$175),0,IF($H32=PriceList!$B$125,PriceList!$D$125,IF($H32=PriceList!$B$126,PriceList!$D$126,0)))</f>
        <v>0</v>
      </c>
    </row>
    <row r="33" spans="1:14" ht="15" customHeight="1" x14ac:dyDescent="0.5">
      <c r="A33" s="203"/>
      <c r="B33" s="94"/>
      <c r="C33" s="170"/>
      <c r="D33" s="171"/>
      <c r="E33" s="27" t="str">
        <f>IF($B33=0,"",IF($C33=PriceList!$B$19,PriceList!$B$190,IF(OR($B33=PriceList!$B$155,$B33=PriceList!$B$156,$B33=PriceList!$B$163,$B33=PriceList!$B$164),"",PriceList!$B$190)))</f>
        <v/>
      </c>
      <c r="F33" s="27"/>
      <c r="G33" s="122" t="str">
        <f t="shared" ca="1" si="0"/>
        <v/>
      </c>
      <c r="H33" s="27" t="str">
        <f>IF($B33=0,"",IF(OR($B33=PriceList!$B$156,$B33=PriceList!$B$157,$B33=PriceList!$B$161),PriceList!$B$128,IF(OR($C$15="",$C$15=PriceList!$B$124),PriceList!$B$129,IF(OR($B33=PriceList!$B$154,$B33=PriceList!$B$155,$B33=PriceList!$B$163,$B33=PriceList!$B$164),$C$15,PriceList!$B$129))))</f>
        <v/>
      </c>
      <c r="I33" s="27" t="str">
        <f>IF($B33="","",IF(OR($H33=PriceList!$B$129,$H33=PriceList!$B$128),PriceList!$B$179,IF(OR($B33=PriceList!$B$154,$E33=PriceList!$B$193,$C33=PriceList!$B$5),PriceList!$B$180,IF(AND(OR($B33=PriceList!$B$163,$B33=PriceList!$B$164,ISNUMBER(SEARCH("180",$C33)),ISNUMBER(SEARCH("140",$C33)),ISNUMBER(SEARCH("200",$C33))),$E33=PriceList!$B$191),PriceList!$B$186,IF(AND(OR($B33=PriceList!$B$163,$B33=PriceList!$B$164,ISNUMBER(SEARCH("180",$C33)),ISNUMBER(SEARCH("140",$C33)),ISNUMBER(SEARCH("200",$C33))),$E33=PriceList!$B$192),PriceList!$B$185,IF(AND($B33=PriceList!$B$155,$E33=PriceList!$B$191),PriceList!$B$182,IF(AND(B33=PriceList!$B$155,E33=PriceList!$B$192),PriceList!$B$181,IF(AND($B33=PriceList!$B$156,$E33=PriceList!$B$191),PriceList!$B$184,IF(AND(B33=PriceList!$B$156,E33=PriceList!$B$192),PriceList!$B$183,IF(AND($B33=PriceList!$B$157,$H33&lt;&gt;PriceList!$B$128),PriceList!$B$180,PriceList!$B$179))))))))))</f>
        <v/>
      </c>
      <c r="J33" s="95" t="str">
        <f>IF($H33="","",VLOOKUP($H33,HandleLookup[],2,FALSE))</f>
        <v/>
      </c>
      <c r="K33" s="95" t="str">
        <f t="shared" ca="1" si="1"/>
        <v/>
      </c>
      <c r="L33" s="106" t="str">
        <f>IF($B33=PriceList!$B$163,"",IF(AND($B33=PriceList!$B$155,OR($C33="60x40",C33="60x60",C33="60x80")),"NB! Plywood is happier as drawers if possible.", IF(OR($C33="40x140",C33="40x180",C33="40x200",C33="60x140",C33="60x180",C33="60x200"),"NB! We recommend using MDF Doors for sizes over 120cm","")))</f>
        <v/>
      </c>
      <c r="M33" s="72" t="str">
        <f ca="1">IF(OR($B33="",$C$14=PriceList!$B$175),"", $F33*$N33+$F33*VLOOKUP($C33,INDIRECT($B33&amp;"Lookup"), $E$11,FALSE))</f>
        <v/>
      </c>
      <c r="N33">
        <f>IF(OR($C$12=PriceList!$B$167,$C$14=PriceList!$B$175),0,IF($H33=PriceList!$B$125,PriceList!$D$125,IF($H33=PriceList!$B$126,PriceList!$D$126,0)))</f>
        <v>0</v>
      </c>
    </row>
    <row r="34" spans="1:14" ht="15" customHeight="1" x14ac:dyDescent="0.5">
      <c r="A34" s="203"/>
      <c r="B34" s="94"/>
      <c r="C34" s="170"/>
      <c r="D34" s="171"/>
      <c r="E34" s="27" t="str">
        <f>IF($B34=0,"",IF($C34=PriceList!$B$19,PriceList!$B$190,IF(OR($B34=PriceList!$B$155,$B34=PriceList!$B$156,$B34=PriceList!$B$163,$B34=PriceList!$B$164),"",PriceList!$B$190)))</f>
        <v/>
      </c>
      <c r="F34" s="27"/>
      <c r="G34" s="122" t="str">
        <f t="shared" ca="1" si="0"/>
        <v/>
      </c>
      <c r="H34" s="27" t="str">
        <f>IF($B34=0,"",IF(OR($B34=PriceList!$B$156,$B34=PriceList!$B$157,$B34=PriceList!$B$161),PriceList!$B$128,IF(OR($C$15="",$C$15=PriceList!$B$124),PriceList!$B$129,IF(OR($B34=PriceList!$B$154,$B34=PriceList!$B$155,$B34=PriceList!$B$163,$B34=PriceList!$B$164),$C$15,PriceList!$B$129))))</f>
        <v/>
      </c>
      <c r="I34" s="27" t="str">
        <f>IF($B34="","",IF(OR($H34=PriceList!$B$129,$H34=PriceList!$B$128),PriceList!$B$179,IF(OR($B34=PriceList!$B$154,$E34=PriceList!$B$193,$C34=PriceList!$B$5),PriceList!$B$180,IF(AND(OR($B34=PriceList!$B$163,$B34=PriceList!$B$164,ISNUMBER(SEARCH("180",$C34)),ISNUMBER(SEARCH("140",$C34)),ISNUMBER(SEARCH("200",$C34))),$E34=PriceList!$B$191),PriceList!$B$186,IF(AND(OR($B34=PriceList!$B$163,$B34=PriceList!$B$164,ISNUMBER(SEARCH("180",$C34)),ISNUMBER(SEARCH("140",$C34)),ISNUMBER(SEARCH("200",$C34))),$E34=PriceList!$B$192),PriceList!$B$185,IF(AND($B34=PriceList!$B$155,$E34=PriceList!$B$191),PriceList!$B$182,IF(AND(B34=PriceList!$B$155,E34=PriceList!$B$192),PriceList!$B$181,IF(AND($B34=PriceList!$B$156,$E34=PriceList!$B$191),PriceList!$B$184,IF(AND(B34=PriceList!$B$156,E34=PriceList!$B$192),PriceList!$B$183,IF(AND($B34=PriceList!$B$157,$H34&lt;&gt;PriceList!$B$128),PriceList!$B$180,PriceList!$B$179))))))))))</f>
        <v/>
      </c>
      <c r="J34" s="95" t="str">
        <f>IF($H34="","",VLOOKUP($H34,HandleLookup[],2,FALSE))</f>
        <v/>
      </c>
      <c r="K34" s="95" t="str">
        <f t="shared" ca="1" si="1"/>
        <v/>
      </c>
      <c r="L34" s="106" t="str">
        <f>IF($B34=PriceList!$B$163,"",IF(AND($B34=PriceList!$B$155,OR($C34="60x40",C34="60x60",C34="60x80")),"NB! Plywood is happier as drawers if possible.", IF(OR($C34="40x140",C34="40x180",C34="40x200",C34="60x140",C34="60x180",C34="60x200"),"NB! We recommend using MDF Doors for sizes over 120cm","")))</f>
        <v/>
      </c>
      <c r="M34" s="72" t="str">
        <f ca="1">IF(OR($B34="",$C$14=PriceList!$B$175),"", $F34*$N34+$F34*VLOOKUP($C34,INDIRECT($B34&amp;"Lookup"), $E$11,FALSE))</f>
        <v/>
      </c>
      <c r="N34">
        <f>IF(OR($C$12=PriceList!$B$167,$C$14=PriceList!$B$175),0,IF($H34=PriceList!$B$125,PriceList!$D$125,IF($H34=PriceList!$B$126,PriceList!$D$126,0)))</f>
        <v>0</v>
      </c>
    </row>
    <row r="35" spans="1:14" ht="15" customHeight="1" x14ac:dyDescent="0.5">
      <c r="A35" s="203"/>
      <c r="B35" s="94"/>
      <c r="C35" s="170"/>
      <c r="D35" s="171"/>
      <c r="E35" s="27" t="str">
        <f>IF($B35=0,"",IF($C35=PriceList!$B$19,PriceList!$B$190,IF(OR($B35=PriceList!$B$155,$B35=PriceList!$B$156,$B35=PriceList!$B$163,$B35=PriceList!$B$164),"",PriceList!$B$190)))</f>
        <v/>
      </c>
      <c r="F35" s="27"/>
      <c r="G35" s="122" t="str">
        <f t="shared" ca="1" si="0"/>
        <v/>
      </c>
      <c r="H35" s="27" t="str">
        <f>IF($B35=0,"",IF(OR($B35=PriceList!$B$156,$B35=PriceList!$B$157,$B35=PriceList!$B$161),PriceList!$B$128,IF(OR($C$15="",$C$15=PriceList!$B$124),PriceList!$B$129,IF(OR($B35=PriceList!$B$154,$B35=PriceList!$B$155,$B35=PriceList!$B$163,$B35=PriceList!$B$164),$C$15,PriceList!$B$129))))</f>
        <v/>
      </c>
      <c r="I35" s="27" t="str">
        <f>IF($B35="","",IF(OR($H35=PriceList!$B$129,$H35=PriceList!$B$128),PriceList!$B$179,IF(OR($B35=PriceList!$B$154,$E35=PriceList!$B$193,$C35=PriceList!$B$5),PriceList!$B$180,IF(AND(OR($B35=PriceList!$B$163,$B35=PriceList!$B$164,ISNUMBER(SEARCH("180",$C35)),ISNUMBER(SEARCH("140",$C35)),ISNUMBER(SEARCH("200",$C35))),$E35=PriceList!$B$191),PriceList!$B$186,IF(AND(OR($B35=PriceList!$B$163,$B35=PriceList!$B$164,ISNUMBER(SEARCH("180",$C35)),ISNUMBER(SEARCH("140",$C35)),ISNUMBER(SEARCH("200",$C35))),$E35=PriceList!$B$192),PriceList!$B$185,IF(AND($B35=PriceList!$B$155,$E35=PriceList!$B$191),PriceList!$B$182,IF(AND(B35=PriceList!$B$155,E35=PriceList!$B$192),PriceList!$B$181,IF(AND($B35=PriceList!$B$156,$E35=PriceList!$B$191),PriceList!$B$184,IF(AND(B35=PriceList!$B$156,E35=PriceList!$B$192),PriceList!$B$183,IF(AND($B35=PriceList!$B$157,$H35&lt;&gt;PriceList!$B$128),PriceList!$B$180,PriceList!$B$179))))))))))</f>
        <v/>
      </c>
      <c r="J35" s="95" t="str">
        <f>IF($H35="","",VLOOKUP($H35,HandleLookup[],2,FALSE))</f>
        <v/>
      </c>
      <c r="K35" s="95" t="str">
        <f t="shared" ca="1" si="1"/>
        <v/>
      </c>
      <c r="L35" s="106" t="str">
        <f>IF($B35=PriceList!$B$163,"",IF(AND($B35=PriceList!$B$155,OR($C35="60x40",C35="60x60",C35="60x80")),"NB! Plywood is happier as drawers if possible.", IF(OR($C35="40x140",C35="40x180",C35="40x200",C35="60x140",C35="60x180",C35="60x200"),"NB! We recommend using MDF Doors for sizes over 120cm","")))</f>
        <v/>
      </c>
      <c r="M35" s="72" t="str">
        <f ca="1">IF(OR($B35="",$C$14=PriceList!$B$175),"", $F35*$N35+$F35*VLOOKUP($C35,INDIRECT($B35&amp;"Lookup"), $E$11,FALSE))</f>
        <v/>
      </c>
      <c r="N35">
        <f>IF(OR($C$12=PriceList!$B$167,$C$14=PriceList!$B$175),0,IF($H35=PriceList!$B$125,PriceList!$D$125,IF($H35=PriceList!$B$126,PriceList!$D$126,0)))</f>
        <v>0</v>
      </c>
    </row>
    <row r="36" spans="1:14" ht="15" customHeight="1" x14ac:dyDescent="0.5">
      <c r="A36" s="203"/>
      <c r="B36" s="94"/>
      <c r="C36" s="170"/>
      <c r="D36" s="171"/>
      <c r="E36" s="27" t="str">
        <f>IF($B36=0,"",IF($C36=PriceList!$B$19,PriceList!$B$190,IF(OR($B36=PriceList!$B$155,$B36=PriceList!$B$156,$B36=PriceList!$B$163,$B36=PriceList!$B$164),"",PriceList!$B$190)))</f>
        <v/>
      </c>
      <c r="F36" s="27"/>
      <c r="G36" s="122" t="str">
        <f t="shared" ca="1" si="0"/>
        <v/>
      </c>
      <c r="H36" s="27" t="str">
        <f>IF($B36=0,"",IF(OR($B36=PriceList!$B$156,$B36=PriceList!$B$157,$B36=PriceList!$B$161),PriceList!$B$128,IF(OR($C$15="",$C$15=PriceList!$B$124),PriceList!$B$129,IF(OR($B36=PriceList!$B$154,$B36=PriceList!$B$155,$B36=PriceList!$B$163,$B36=PriceList!$B$164),$C$15,PriceList!$B$129))))</f>
        <v/>
      </c>
      <c r="I36" s="27" t="str">
        <f>IF($B36="","",IF(OR($H36=PriceList!$B$129,$H36=PriceList!$B$128),PriceList!$B$179,IF(OR($B36=PriceList!$B$154,$E36=PriceList!$B$193,$C36=PriceList!$B$5),PriceList!$B$180,IF(AND(OR($B36=PriceList!$B$163,$B36=PriceList!$B$164,ISNUMBER(SEARCH("180",$C36)),ISNUMBER(SEARCH("140",$C36)),ISNUMBER(SEARCH("200",$C36))),$E36=PriceList!$B$191),PriceList!$B$186,IF(AND(OR($B36=PriceList!$B$163,$B36=PriceList!$B$164,ISNUMBER(SEARCH("180",$C36)),ISNUMBER(SEARCH("140",$C36)),ISNUMBER(SEARCH("200",$C36))),$E36=PriceList!$B$192),PriceList!$B$185,IF(AND($B36=PriceList!$B$155,$E36=PriceList!$B$191),PriceList!$B$182,IF(AND(B36=PriceList!$B$155,E36=PriceList!$B$192),PriceList!$B$181,IF(AND($B36=PriceList!$B$156,$E36=PriceList!$B$191),PriceList!$B$184,IF(AND(B36=PriceList!$B$156,E36=PriceList!$B$192),PriceList!$B$183,IF(AND($B36=PriceList!$B$157,$H36&lt;&gt;PriceList!$B$128),PriceList!$B$180,PriceList!$B$179))))))))))</f>
        <v/>
      </c>
      <c r="J36" s="95" t="str">
        <f>IF($H36="","",VLOOKUP($H36,HandleLookup[],2,FALSE))</f>
        <v/>
      </c>
      <c r="K36" s="95" t="str">
        <f t="shared" ca="1" si="1"/>
        <v/>
      </c>
      <c r="L36" s="106" t="str">
        <f>IF($B36=PriceList!$B$163,"",IF(AND($B36=PriceList!$B$155,OR($C36="60x40",C36="60x60",C36="60x80")),"NB! Plywood is happier as drawers if possible.", IF(OR($C36="40x140",C36="40x180",C36="40x200",C36="60x140",C36="60x180",C36="60x200"),"NB! We recommend using MDF Doors for sizes over 120cm","")))</f>
        <v/>
      </c>
      <c r="M36" s="72" t="str">
        <f ca="1">IF(OR($B36="",$C$14=PriceList!$B$175),"", $F36*$N36+$F36*VLOOKUP($C36,INDIRECT($B36&amp;"Lookup"), $E$11,FALSE))</f>
        <v/>
      </c>
      <c r="N36">
        <f>IF(OR($C$12=PriceList!$B$167,$C$14=PriceList!$B$175),0,IF($H36=PriceList!$B$125,PriceList!$D$125,IF($H36=PriceList!$B$126,PriceList!$D$126,0)))</f>
        <v>0</v>
      </c>
    </row>
    <row r="37" spans="1:14" ht="15" customHeight="1" x14ac:dyDescent="0.5">
      <c r="A37" s="203"/>
      <c r="B37" s="94"/>
      <c r="C37" s="170"/>
      <c r="D37" s="171"/>
      <c r="E37" s="27" t="str">
        <f>IF($B37=0,"",IF($C37=PriceList!$B$19,PriceList!$B$190,IF(OR($B37=PriceList!$B$155,$B37=PriceList!$B$156,$B37=PriceList!$B$163,$B37=PriceList!$B$164),"",PriceList!$B$190)))</f>
        <v/>
      </c>
      <c r="F37" s="27"/>
      <c r="G37" s="122" t="str">
        <f t="shared" ca="1" si="0"/>
        <v/>
      </c>
      <c r="H37" s="27" t="str">
        <f>IF($B37=0,"",IF(OR($B37=PriceList!$B$156,$B37=PriceList!$B$157,$B37=PriceList!$B$161),PriceList!$B$128,IF(OR($C$15="",$C$15=PriceList!$B$124),PriceList!$B$129,IF(OR($B37=PriceList!$B$154,$B37=PriceList!$B$155,$B37=PriceList!$B$163,$B37=PriceList!$B$164),$C$15,PriceList!$B$129))))</f>
        <v/>
      </c>
      <c r="I37" s="27" t="str">
        <f>IF($B37="","",IF(OR($H37=PriceList!$B$129,$H37=PriceList!$B$128),PriceList!$B$179,IF(OR($B37=PriceList!$B$154,$E37=PriceList!$B$193,$C37=PriceList!$B$5),PriceList!$B$180,IF(AND(OR($B37=PriceList!$B$163,$B37=PriceList!$B$164,ISNUMBER(SEARCH("180",$C37)),ISNUMBER(SEARCH("140",$C37)),ISNUMBER(SEARCH("200",$C37))),$E37=PriceList!$B$191),PriceList!$B$186,IF(AND(OR($B37=PriceList!$B$163,$B37=PriceList!$B$164,ISNUMBER(SEARCH("180",$C37)),ISNUMBER(SEARCH("140",$C37)),ISNUMBER(SEARCH("200",$C37))),$E37=PriceList!$B$192),PriceList!$B$185,IF(AND($B37=PriceList!$B$155,$E37=PriceList!$B$191),PriceList!$B$182,IF(AND(B37=PriceList!$B$155,E37=PriceList!$B$192),PriceList!$B$181,IF(AND($B37=PriceList!$B$156,$E37=PriceList!$B$191),PriceList!$B$184,IF(AND(B37=PriceList!$B$156,E37=PriceList!$B$192),PriceList!$B$183,IF(AND($B37=PriceList!$B$157,$H37&lt;&gt;PriceList!$B$128),PriceList!$B$180,PriceList!$B$179))))))))))</f>
        <v/>
      </c>
      <c r="J37" s="95" t="str">
        <f>IF($H37="","",VLOOKUP($H37,HandleLookup[],2,FALSE))</f>
        <v/>
      </c>
      <c r="K37" s="95" t="str">
        <f t="shared" ca="1" si="1"/>
        <v/>
      </c>
      <c r="L37" s="106" t="str">
        <f>IF($B37=PriceList!$B$163,"",IF(AND($B37=PriceList!$B$155,OR($C37="60x40",C37="60x60",C37="60x80")),"NB! Plywood is happier as drawers if possible.", IF(OR($C37="40x140",C37="40x180",C37="40x200",C37="60x140",C37="60x180",C37="60x200"),"NB! We recommend using MDF Doors for sizes over 120cm","")))</f>
        <v/>
      </c>
      <c r="M37" s="72" t="str">
        <f ca="1">IF(OR($B37="",$C$14=PriceList!$B$175),"", $F37*$N37+$F37*VLOOKUP($C37,INDIRECT($B37&amp;"Lookup"), $E$11,FALSE))</f>
        <v/>
      </c>
      <c r="N37">
        <f>IF(OR($C$12=PriceList!$B$167,$C$14=PriceList!$B$175),0,IF($H37=PriceList!$B$125,PriceList!$D$125,IF($H37=PriceList!$B$126,PriceList!$D$126,0)))</f>
        <v>0</v>
      </c>
    </row>
    <row r="38" spans="1:14" ht="15" customHeight="1" x14ac:dyDescent="0.5">
      <c r="A38" s="203"/>
      <c r="B38" s="94"/>
      <c r="C38" s="170"/>
      <c r="D38" s="171"/>
      <c r="E38" s="27" t="str">
        <f>IF($B38=0,"",IF($C38=PriceList!$B$19,PriceList!$B$190,IF(OR($B38=PriceList!$B$155,$B38=PriceList!$B$156,$B38=PriceList!$B$163,$B38=PriceList!$B$164),"",PriceList!$B$190)))</f>
        <v/>
      </c>
      <c r="F38" s="27"/>
      <c r="G38" s="122" t="str">
        <f t="shared" ca="1" si="0"/>
        <v/>
      </c>
      <c r="H38" s="27" t="str">
        <f>IF($B38=0,"",IF(OR($B38=PriceList!$B$156,$B38=PriceList!$B$157,$B38=PriceList!$B$161),PriceList!$B$128,IF(OR($C$15="",$C$15=PriceList!$B$124),PriceList!$B$129,IF(OR($B38=PriceList!$B$154,$B38=PriceList!$B$155,$B38=PriceList!$B$163,$B38=PriceList!$B$164),$C$15,PriceList!$B$129))))</f>
        <v/>
      </c>
      <c r="I38" s="27" t="str">
        <f>IF($B38="","",IF(OR($H38=PriceList!$B$129,$H38=PriceList!$B$128),PriceList!$B$179,IF(OR($B38=PriceList!$B$154,$E38=PriceList!$B$193,$C38=PriceList!$B$5),PriceList!$B$180,IF(AND(OR($B38=PriceList!$B$163,$B38=PriceList!$B$164,ISNUMBER(SEARCH("180",$C38)),ISNUMBER(SEARCH("140",$C38)),ISNUMBER(SEARCH("200",$C38))),$E38=PriceList!$B$191),PriceList!$B$186,IF(AND(OR($B38=PriceList!$B$163,$B38=PriceList!$B$164,ISNUMBER(SEARCH("180",$C38)),ISNUMBER(SEARCH("140",$C38)),ISNUMBER(SEARCH("200",$C38))),$E38=PriceList!$B$192),PriceList!$B$185,IF(AND($B38=PriceList!$B$155,$E38=PriceList!$B$191),PriceList!$B$182,IF(AND(B38=PriceList!$B$155,E38=PriceList!$B$192),PriceList!$B$181,IF(AND($B38=PriceList!$B$156,$E38=PriceList!$B$191),PriceList!$B$184,IF(AND(B38=PriceList!$B$156,E38=PriceList!$B$192),PriceList!$B$183,IF(AND($B38=PriceList!$B$157,$H38&lt;&gt;PriceList!$B$128),PriceList!$B$180,PriceList!$B$179))))))))))</f>
        <v/>
      </c>
      <c r="J38" s="95" t="str">
        <f>IF($H38="","",VLOOKUP($H38,HandleLookup[],2,FALSE))</f>
        <v/>
      </c>
      <c r="K38" s="95" t="str">
        <f t="shared" ca="1" si="1"/>
        <v/>
      </c>
      <c r="L38" s="106" t="str">
        <f>IF($B38=PriceList!$B$163,"",IF(AND($B38=PriceList!$B$155,OR($C38="60x40",C38="60x60",C38="60x80")),"NB! Plywood is happier as drawers if possible.", IF(OR($C38="40x140",C38="40x180",C38="40x200",C38="60x140",C38="60x180",C38="60x200"),"NB! We recommend using MDF Doors for sizes over 120cm","")))</f>
        <v/>
      </c>
      <c r="M38" s="72" t="str">
        <f ca="1">IF(OR($B38="",$C$14=PriceList!$B$175),"", $F38*$N38+$F38*VLOOKUP($C38,INDIRECT($B38&amp;"Lookup"), $E$11,FALSE))</f>
        <v/>
      </c>
      <c r="N38">
        <f>IF(OR($C$12=PriceList!$B$167,$C$14=PriceList!$B$175),0,IF($H38=PriceList!$B$125,PriceList!$D$125,IF($H38=PriceList!$B$126,PriceList!$D$126,0)))</f>
        <v>0</v>
      </c>
    </row>
    <row r="39" spans="1:14" ht="15" customHeight="1" x14ac:dyDescent="0.5">
      <c r="A39" s="203"/>
      <c r="B39" s="94"/>
      <c r="C39" s="170"/>
      <c r="D39" s="171"/>
      <c r="E39" s="27" t="str">
        <f>IF($B39=0,"",IF($C39=PriceList!$B$19,PriceList!$B$190,IF(OR($B39=PriceList!$B$155,$B39=PriceList!$B$156,$B39=PriceList!$B$163,$B39=PriceList!$B$164),"",PriceList!$B$190)))</f>
        <v/>
      </c>
      <c r="F39" s="27"/>
      <c r="G39" s="122" t="str">
        <f t="shared" ca="1" si="0"/>
        <v/>
      </c>
      <c r="H39" s="27" t="str">
        <f>IF($B39=0,"",IF(OR($B39=PriceList!$B$156,$B39=PriceList!$B$157,$B39=PriceList!$B$161),PriceList!$B$128,IF(OR($C$15="",$C$15=PriceList!$B$124),PriceList!$B$129,IF(OR($B39=PriceList!$B$154,$B39=PriceList!$B$155,$B39=PriceList!$B$163,$B39=PriceList!$B$164),$C$15,PriceList!$B$129))))</f>
        <v/>
      </c>
      <c r="I39" s="27" t="str">
        <f>IF($B39="","",IF(OR($H39=PriceList!$B$129,$H39=PriceList!$B$128),PriceList!$B$179,IF(OR($B39=PriceList!$B$154,$E39=PriceList!$B$193,$C39=PriceList!$B$5),PriceList!$B$180,IF(AND(OR($B39=PriceList!$B$163,$B39=PriceList!$B$164,ISNUMBER(SEARCH("180",$C39)),ISNUMBER(SEARCH("140",$C39)),ISNUMBER(SEARCH("200",$C39))),$E39=PriceList!$B$191),PriceList!$B$186,IF(AND(OR($B39=PriceList!$B$163,$B39=PriceList!$B$164,ISNUMBER(SEARCH("180",$C39)),ISNUMBER(SEARCH("140",$C39)),ISNUMBER(SEARCH("200",$C39))),$E39=PriceList!$B$192),PriceList!$B$185,IF(AND($B39=PriceList!$B$155,$E39=PriceList!$B$191),PriceList!$B$182,IF(AND(B39=PriceList!$B$155,E39=PriceList!$B$192),PriceList!$B$181,IF(AND($B39=PriceList!$B$156,$E39=PriceList!$B$191),PriceList!$B$184,IF(AND(B39=PriceList!$B$156,E39=PriceList!$B$192),PriceList!$B$183,IF(AND($B39=PriceList!$B$157,$H39&lt;&gt;PriceList!$B$128),PriceList!$B$180,PriceList!$B$179))))))))))</f>
        <v/>
      </c>
      <c r="J39" s="95" t="str">
        <f>IF($H39="","",VLOOKUP($H39,HandleLookup[],2,FALSE))</f>
        <v/>
      </c>
      <c r="K39" s="95" t="str">
        <f t="shared" ca="1" si="1"/>
        <v/>
      </c>
      <c r="L39" s="106" t="str">
        <f>IF($B39=PriceList!$B$163,"",IF(AND($B39=PriceList!$B$155,OR($C39="60x40",C39="60x60",C39="60x80")),"NB! Plywood is happier as drawers if possible.", IF(OR($C39="40x140",C39="40x180",C39="40x200",C39="60x140",C39="60x180",C39="60x200"),"NB! We recommend using MDF Doors for sizes over 120cm","")))</f>
        <v/>
      </c>
      <c r="M39" s="72" t="str">
        <f ca="1">IF(OR($B39="",$C$14=PriceList!$B$175),"", $F39*$N39+$F39*VLOOKUP($C39,INDIRECT($B39&amp;"Lookup"), $E$11,FALSE))</f>
        <v/>
      </c>
      <c r="N39">
        <f>IF(OR($C$12=PriceList!$B$167,$C$14=PriceList!$B$175),0,IF($H39=PriceList!$B$125,PriceList!$D$125,IF($H39=PriceList!$B$126,PriceList!$D$126,0)))</f>
        <v>0</v>
      </c>
    </row>
    <row r="40" spans="1:14" ht="15" customHeight="1" x14ac:dyDescent="0.5">
      <c r="A40" s="203"/>
      <c r="B40" s="94"/>
      <c r="C40" s="170"/>
      <c r="D40" s="171"/>
      <c r="E40" s="27" t="str">
        <f>IF($B40=0,"",IF($C40=PriceList!$B$19,PriceList!$B$190,IF(OR($B40=PriceList!$B$155,$B40=PriceList!$B$156,$B40=PriceList!$B$163,$B40=PriceList!$B$164),"",PriceList!$B$190)))</f>
        <v/>
      </c>
      <c r="F40" s="27"/>
      <c r="G40" s="122" t="str">
        <f t="shared" ca="1" si="0"/>
        <v/>
      </c>
      <c r="H40" s="27" t="str">
        <f>IF($B40=0,"",IF(OR($B40=PriceList!$B$156,$B40=PriceList!$B$157,$B40=PriceList!$B$161),PriceList!$B$128,IF(OR($C$15="",$C$15=PriceList!$B$124),PriceList!$B$129,IF(OR($B40=PriceList!$B$154,$B40=PriceList!$B$155,$B40=PriceList!$B$163,$B40=PriceList!$B$164),$C$15,PriceList!$B$129))))</f>
        <v/>
      </c>
      <c r="I40" s="27" t="str">
        <f>IF($B40="","",IF(OR($H40=PriceList!$B$129,$H40=PriceList!$B$128),PriceList!$B$179,IF(OR($B40=PriceList!$B$154,$E40=PriceList!$B$193,$C40=PriceList!$B$5),PriceList!$B$180,IF(AND(OR($B40=PriceList!$B$163,$B40=PriceList!$B$164,ISNUMBER(SEARCH("180",$C40)),ISNUMBER(SEARCH("140",$C40)),ISNUMBER(SEARCH("200",$C40))),$E40=PriceList!$B$191),PriceList!$B$186,IF(AND(OR($B40=PriceList!$B$163,$B40=PriceList!$B$164,ISNUMBER(SEARCH("180",$C40)),ISNUMBER(SEARCH("140",$C40)),ISNUMBER(SEARCH("200",$C40))),$E40=PriceList!$B$192),PriceList!$B$185,IF(AND($B40=PriceList!$B$155,$E40=PriceList!$B$191),PriceList!$B$182,IF(AND(B40=PriceList!$B$155,E40=PriceList!$B$192),PriceList!$B$181,IF(AND($B40=PriceList!$B$156,$E40=PriceList!$B$191),PriceList!$B$184,IF(AND(B40=PriceList!$B$156,E40=PriceList!$B$192),PriceList!$B$183,IF(AND($B40=PriceList!$B$157,$H40&lt;&gt;PriceList!$B$128),PriceList!$B$180,PriceList!$B$179))))))))))</f>
        <v/>
      </c>
      <c r="J40" s="95" t="str">
        <f>IF($H40="","",VLOOKUP($H40,HandleLookup[],2,FALSE))</f>
        <v/>
      </c>
      <c r="K40" s="95" t="str">
        <f t="shared" ca="1" si="1"/>
        <v/>
      </c>
      <c r="L40" s="106" t="str">
        <f>IF($B40=PriceList!$B$163,"",IF(AND($B40=PriceList!$B$155,OR($C40="60x40",C40="60x60",C40="60x80")),"NB! Plywood is happier as drawers if possible.", IF(OR($C40="40x140",C40="40x180",C40="40x200",C40="60x140",C40="60x180",C40="60x200"),"NB! We recommend using MDF Doors for sizes over 120cm","")))</f>
        <v/>
      </c>
      <c r="M40" s="72" t="str">
        <f ca="1">IF(OR($B40="",$C$14=PriceList!$B$175),"", $F40*$N40+$F40*VLOOKUP($C40,INDIRECT($B40&amp;"Lookup"), $E$11,FALSE))</f>
        <v/>
      </c>
      <c r="N40">
        <f>IF(OR($C$12=PriceList!$B$167,$C$14=PriceList!$B$175),0,IF($H40=PriceList!$B$125,PriceList!$D$125,IF($H40=PriceList!$B$126,PriceList!$D$126,0)))</f>
        <v>0</v>
      </c>
    </row>
    <row r="41" spans="1:14" ht="15" customHeight="1" x14ac:dyDescent="0.5">
      <c r="A41" s="203"/>
      <c r="B41" s="94"/>
      <c r="C41" s="170"/>
      <c r="D41" s="171"/>
      <c r="E41" s="27" t="str">
        <f>IF($B41=0,"",IF($C41=PriceList!$B$19,PriceList!$B$190,IF(OR($B41=PriceList!$B$155,$B41=PriceList!$B$156,$B41=PriceList!$B$163,$B41=PriceList!$B$164),"",PriceList!$B$190)))</f>
        <v/>
      </c>
      <c r="F41" s="27"/>
      <c r="G41" s="122" t="str">
        <f t="shared" ca="1" si="0"/>
        <v/>
      </c>
      <c r="H41" s="27" t="str">
        <f>IF($B41=0,"",IF(OR($B41=PriceList!$B$156,$B41=PriceList!$B$157,$B41=PriceList!$B$161),PriceList!$B$128,IF(OR($C$15="",$C$15=PriceList!$B$124),PriceList!$B$129,IF(OR($B41=PriceList!$B$154,$B41=PriceList!$B$155,$B41=PriceList!$B$163,$B41=PriceList!$B$164),$C$15,PriceList!$B$129))))</f>
        <v/>
      </c>
      <c r="I41" s="27" t="str">
        <f>IF($B41="","",IF(OR($H41=PriceList!$B$129,$H41=PriceList!$B$128),PriceList!$B$179,IF(OR($B41=PriceList!$B$154,$E41=PriceList!$B$193,$C41=PriceList!$B$5),PriceList!$B$180,IF(AND(OR($B41=PriceList!$B$163,$B41=PriceList!$B$164,ISNUMBER(SEARCH("180",$C41)),ISNUMBER(SEARCH("140",$C41)),ISNUMBER(SEARCH("200",$C41))),$E41=PriceList!$B$191),PriceList!$B$186,IF(AND(OR($B41=PriceList!$B$163,$B41=PriceList!$B$164,ISNUMBER(SEARCH("180",$C41)),ISNUMBER(SEARCH("140",$C41)),ISNUMBER(SEARCH("200",$C41))),$E41=PriceList!$B$192),PriceList!$B$185,IF(AND($B41=PriceList!$B$155,$E41=PriceList!$B$191),PriceList!$B$182,IF(AND(B41=PriceList!$B$155,E41=PriceList!$B$192),PriceList!$B$181,IF(AND($B41=PriceList!$B$156,$E41=PriceList!$B$191),PriceList!$B$184,IF(AND(B41=PriceList!$B$156,E41=PriceList!$B$192),PriceList!$B$183,IF(AND($B41=PriceList!$B$157,$H41&lt;&gt;PriceList!$B$128),PriceList!$B$180,PriceList!$B$179))))))))))</f>
        <v/>
      </c>
      <c r="J41" s="95" t="str">
        <f>IF($H41="","",VLOOKUP($H41,HandleLookup[],2,FALSE))</f>
        <v/>
      </c>
      <c r="K41" s="95" t="str">
        <f t="shared" ca="1" si="1"/>
        <v/>
      </c>
      <c r="L41" s="106" t="str">
        <f>IF($B41=PriceList!$B$163,"",IF(AND($B41=PriceList!$B$155,OR($C41="60x40",C41="60x60",C41="60x80")),"NB! Plywood is happier as drawers if possible.", IF(OR($C41="40x140",C41="40x180",C41="40x200",C41="60x140",C41="60x180",C41="60x200"),"NB! We recommend using MDF Doors for sizes over 120cm","")))</f>
        <v/>
      </c>
      <c r="M41" s="72" t="str">
        <f ca="1">IF(OR($B41="",$C$14=PriceList!$B$175),"", $F41*$N41+$F41*VLOOKUP($C41,INDIRECT($B41&amp;"Lookup"), $E$11,FALSE))</f>
        <v/>
      </c>
      <c r="N41">
        <f>IF(OR($C$12=PriceList!$B$167,$C$14=PriceList!$B$175),0,IF($H41=PriceList!$B$125,PriceList!$D$125,IF($H41=PriceList!$B$126,PriceList!$D$126,0)))</f>
        <v>0</v>
      </c>
    </row>
    <row r="42" spans="1:14" ht="15" customHeight="1" x14ac:dyDescent="0.5">
      <c r="A42" s="203"/>
      <c r="B42" s="94"/>
      <c r="C42" s="170"/>
      <c r="D42" s="171"/>
      <c r="E42" s="27" t="str">
        <f>IF($B42=0,"",IF($C42=PriceList!$B$19,PriceList!$B$190,IF(OR($B42=PriceList!$B$155,$B42=PriceList!$B$156,$B42=PriceList!$B$163,$B42=PriceList!$B$164),"",PriceList!$B$190)))</f>
        <v/>
      </c>
      <c r="F42" s="27"/>
      <c r="G42" s="122" t="str">
        <f t="shared" ca="1" si="0"/>
        <v/>
      </c>
      <c r="H42" s="27" t="str">
        <f>IF($B42=0,"",IF(OR($B42=PriceList!$B$156,$B42=PriceList!$B$157,$B42=PriceList!$B$161),PriceList!$B$128,IF(OR($C$15="",$C$15=PriceList!$B$124),PriceList!$B$129,IF(OR($B42=PriceList!$B$154,$B42=PriceList!$B$155,$B42=PriceList!$B$163,$B42=PriceList!$B$164),$C$15,PriceList!$B$129))))</f>
        <v/>
      </c>
      <c r="I42" s="27" t="str">
        <f>IF($B42="","",IF(OR($H42=PriceList!$B$129,$H42=PriceList!$B$128),PriceList!$B$179,IF(OR($B42=PriceList!$B$154,$E42=PriceList!$B$193,$C42=PriceList!$B$5),PriceList!$B$180,IF(AND(OR($B42=PriceList!$B$163,$B42=PriceList!$B$164,ISNUMBER(SEARCH("180",$C42)),ISNUMBER(SEARCH("140",$C42)),ISNUMBER(SEARCH("200",$C42))),$E42=PriceList!$B$191),PriceList!$B$186,IF(AND(OR($B42=PriceList!$B$163,$B42=PriceList!$B$164,ISNUMBER(SEARCH("180",$C42)),ISNUMBER(SEARCH("140",$C42)),ISNUMBER(SEARCH("200",$C42))),$E42=PriceList!$B$192),PriceList!$B$185,IF(AND($B42=PriceList!$B$155,$E42=PriceList!$B$191),PriceList!$B$182,IF(AND(B42=PriceList!$B$155,E42=PriceList!$B$192),PriceList!$B$181,IF(AND($B42=PriceList!$B$156,$E42=PriceList!$B$191),PriceList!$B$184,IF(AND(B42=PriceList!$B$156,E42=PriceList!$B$192),PriceList!$B$183,IF(AND($B42=PriceList!$B$157,$H42&lt;&gt;PriceList!$B$128),PriceList!$B$180,PriceList!$B$179))))))))))</f>
        <v/>
      </c>
      <c r="J42" s="95" t="str">
        <f>IF($H42="","",VLOOKUP($H42,HandleLookup[],2,FALSE))</f>
        <v/>
      </c>
      <c r="K42" s="95" t="str">
        <f t="shared" ca="1" si="1"/>
        <v/>
      </c>
      <c r="L42" s="106" t="str">
        <f>IF($B42=PriceList!$B$163,"",IF(AND($B42=PriceList!$B$155,OR($C42="60x40",C42="60x60",C42="60x80")),"NB! Plywood is happier as drawers if possible.", IF(OR($C42="40x140",C42="40x180",C42="40x200",C42="60x140",C42="60x180",C42="60x200"),"NB! We recommend using MDF Doors for sizes over 120cm","")))</f>
        <v/>
      </c>
      <c r="M42" s="72" t="str">
        <f ca="1">IF(OR($B42="",$C$14=PriceList!$B$175),"", $F42*$N42+$F42*VLOOKUP($C42,INDIRECT($B42&amp;"Lookup"), $E$11,FALSE))</f>
        <v/>
      </c>
      <c r="N42">
        <f>IF(OR($C$12=PriceList!$B$167,$C$14=PriceList!$B$175),0,IF($H42=PriceList!$B$125,PriceList!$D$125,IF($H42=PriceList!$B$126,PriceList!$D$126,0)))</f>
        <v>0</v>
      </c>
    </row>
    <row r="43" spans="1:14" ht="15" customHeight="1" x14ac:dyDescent="0.5">
      <c r="A43" s="203"/>
      <c r="B43" s="94"/>
      <c r="C43" s="170"/>
      <c r="D43" s="171"/>
      <c r="E43" s="27" t="str">
        <f>IF($B43=0,"",IF($C43=PriceList!$B$19,PriceList!$B$190,IF(OR($B43=PriceList!$B$155,$B43=PriceList!$B$156,$B43=PriceList!$B$163,$B43=PriceList!$B$164),"",PriceList!$B$190)))</f>
        <v/>
      </c>
      <c r="F43" s="27"/>
      <c r="G43" s="122" t="str">
        <f t="shared" ca="1" si="0"/>
        <v/>
      </c>
      <c r="H43" s="27" t="str">
        <f>IF($B43=0,"",IF(OR($B43=PriceList!$B$156,$B43=PriceList!$B$157,$B43=PriceList!$B$161),PriceList!$B$128,IF(OR($C$15="",$C$15=PriceList!$B$124),PriceList!$B$129,IF(OR($B43=PriceList!$B$154,$B43=PriceList!$B$155,$B43=PriceList!$B$163,$B43=PriceList!$B$164),$C$15,PriceList!$B$129))))</f>
        <v/>
      </c>
      <c r="I43" s="27" t="str">
        <f>IF($B43="","",IF(OR($H43=PriceList!$B$129,$H43=PriceList!$B$128),PriceList!$B$179,IF(OR($B43=PriceList!$B$154,$E43=PriceList!$B$193,$C43=PriceList!$B$5),PriceList!$B$180,IF(AND(OR($B43=PriceList!$B$163,$B43=PriceList!$B$164,ISNUMBER(SEARCH("180",$C43)),ISNUMBER(SEARCH("140",$C43)),ISNUMBER(SEARCH("200",$C43))),$E43=PriceList!$B$191),PriceList!$B$186,IF(AND(OR($B43=PriceList!$B$163,$B43=PriceList!$B$164,ISNUMBER(SEARCH("180",$C43)),ISNUMBER(SEARCH("140",$C43)),ISNUMBER(SEARCH("200",$C43))),$E43=PriceList!$B$192),PriceList!$B$185,IF(AND($B43=PriceList!$B$155,$E43=PriceList!$B$191),PriceList!$B$182,IF(AND(B43=PriceList!$B$155,E43=PriceList!$B$192),PriceList!$B$181,IF(AND($B43=PriceList!$B$156,$E43=PriceList!$B$191),PriceList!$B$184,IF(AND(B43=PriceList!$B$156,E43=PriceList!$B$192),PriceList!$B$183,IF(AND($B43=PriceList!$B$157,$H43&lt;&gt;PriceList!$B$128),PriceList!$B$180,PriceList!$B$179))))))))))</f>
        <v/>
      </c>
      <c r="J43" s="95" t="str">
        <f>IF($H43="","",VLOOKUP($H43,HandleLookup[],2,FALSE))</f>
        <v/>
      </c>
      <c r="K43" s="95" t="str">
        <f t="shared" ca="1" si="1"/>
        <v/>
      </c>
      <c r="L43" s="106" t="str">
        <f>IF($B43=PriceList!$B$163,"",IF(AND($B43=PriceList!$B$155,OR($C43="60x40",C43="60x60",C43="60x80")),"NB! Plywood is happier as drawers if possible.", IF(OR($C43="40x140",C43="40x180",C43="40x200",C43="60x140",C43="60x180",C43="60x200"),"NB! We recommend using MDF Doors for sizes over 120cm","")))</f>
        <v/>
      </c>
      <c r="M43" s="72" t="str">
        <f ca="1">IF(OR($B43="",$C$14=PriceList!$B$175),"", $F43*$N43+$F43*VLOOKUP($C43,INDIRECT($B43&amp;"Lookup"), $E$11,FALSE))</f>
        <v/>
      </c>
      <c r="N43">
        <f>IF(OR($C$12=PriceList!$B$167,$C$14=PriceList!$B$175),0,IF($H43=PriceList!$B$125,PriceList!$D$125,IF($H43=PriceList!$B$126,PriceList!$D$126,0)))</f>
        <v>0</v>
      </c>
    </row>
    <row r="44" spans="1:14" ht="15" customHeight="1" x14ac:dyDescent="0.5">
      <c r="A44" s="203"/>
      <c r="B44" s="94"/>
      <c r="C44" s="170"/>
      <c r="D44" s="171"/>
      <c r="E44" s="27" t="str">
        <f>IF($B44=0,"",IF($C44=PriceList!$B$19,PriceList!$B$190,IF(OR($B44=PriceList!$B$155,$B44=PriceList!$B$156,$B44=PriceList!$B$163,$B44=PriceList!$B$164),"",PriceList!$B$190)))</f>
        <v/>
      </c>
      <c r="F44" s="27"/>
      <c r="G44" s="122" t="str">
        <f t="shared" ca="1" si="0"/>
        <v/>
      </c>
      <c r="H44" s="27" t="str">
        <f>IF($B44=0,"",IF(OR($B44=PriceList!$B$156,$B44=PriceList!$B$157,$B44=PriceList!$B$161),PriceList!$B$128,IF(OR($C$15="",$C$15=PriceList!$B$124),PriceList!$B$129,IF(OR($B44=PriceList!$B$154,$B44=PriceList!$B$155,$B44=PriceList!$B$163,$B44=PriceList!$B$164),$C$15,PriceList!$B$129))))</f>
        <v/>
      </c>
      <c r="I44" s="27" t="str">
        <f>IF($B44="","",IF(OR($H44=PriceList!$B$129,$H44=PriceList!$B$128),PriceList!$B$179,IF(OR($B44=PriceList!$B$154,$E44=PriceList!$B$193,$C44=PriceList!$B$5),PriceList!$B$180,IF(AND(OR($B44=PriceList!$B$163,$B44=PriceList!$B$164,ISNUMBER(SEARCH("180",$C44)),ISNUMBER(SEARCH("140",$C44)),ISNUMBER(SEARCH("200",$C44))),$E44=PriceList!$B$191),PriceList!$B$186,IF(AND(OR($B44=PriceList!$B$163,$B44=PriceList!$B$164,ISNUMBER(SEARCH("180",$C44)),ISNUMBER(SEARCH("140",$C44)),ISNUMBER(SEARCH("200",$C44))),$E44=PriceList!$B$192),PriceList!$B$185,IF(AND($B44=PriceList!$B$155,$E44=PriceList!$B$191),PriceList!$B$182,IF(AND(B44=PriceList!$B$155,E44=PriceList!$B$192),PriceList!$B$181,IF(AND($B44=PriceList!$B$156,$E44=PriceList!$B$191),PriceList!$B$184,IF(AND(B44=PriceList!$B$156,E44=PriceList!$B$192),PriceList!$B$183,IF(AND($B44=PriceList!$B$157,$H44&lt;&gt;PriceList!$B$128),PriceList!$B$180,PriceList!$B$179))))))))))</f>
        <v/>
      </c>
      <c r="J44" s="95" t="str">
        <f>IF($H44="","",VLOOKUP($H44,HandleLookup[],2,FALSE))</f>
        <v/>
      </c>
      <c r="K44" s="95" t="str">
        <f t="shared" ca="1" si="1"/>
        <v/>
      </c>
      <c r="L44" s="106" t="str">
        <f>IF($B44=PriceList!$B$163,"",IF(AND($B44=PriceList!$B$155,OR($C44="60x40",C44="60x60",C44="60x80")),"NB! Plywood is happier as drawers if possible.", IF(OR($C44="40x140",C44="40x180",C44="40x200",C44="60x140",C44="60x180",C44="60x200"),"NB! We recommend using MDF Doors for sizes over 120cm","")))</f>
        <v/>
      </c>
      <c r="M44" s="72" t="str">
        <f ca="1">IF(OR($B44="",$C$14=PriceList!$B$175),"", $F44*$N44+$F44*VLOOKUP($C44,INDIRECT($B44&amp;"Lookup"), $E$11,FALSE))</f>
        <v/>
      </c>
      <c r="N44">
        <f>IF(OR($C$12=PriceList!$B$167,$C$14=PriceList!$B$175),0,IF($H44=PriceList!$B$125,PriceList!$D$125,IF($H44=PriceList!$B$126,PriceList!$D$126,0)))</f>
        <v>0</v>
      </c>
    </row>
    <row r="45" spans="1:14" ht="15" customHeight="1" x14ac:dyDescent="0.5">
      <c r="A45" s="203"/>
      <c r="B45" s="94"/>
      <c r="C45" s="170"/>
      <c r="D45" s="171"/>
      <c r="E45" s="27" t="str">
        <f>IF($B45=0,"",IF($C45=PriceList!$B$19,PriceList!$B$190,IF(OR($B45=PriceList!$B$155,$B45=PriceList!$B$156,$B45=PriceList!$B$163,$B45=PriceList!$B$164),"",PriceList!$B$190)))</f>
        <v/>
      </c>
      <c r="F45" s="27"/>
      <c r="G45" s="122" t="str">
        <f t="shared" ca="1" si="0"/>
        <v/>
      </c>
      <c r="H45" s="27" t="str">
        <f>IF($B45=0,"",IF(OR($B45=PriceList!$B$156,$B45=PriceList!$B$157,$B45=PriceList!$B$161),PriceList!$B$128,IF(OR($C$15="",$C$15=PriceList!$B$124),PriceList!$B$129,IF(OR($B45=PriceList!$B$154,$B45=PriceList!$B$155,$B45=PriceList!$B$163,$B45=PriceList!$B$164),$C$15,PriceList!$B$129))))</f>
        <v/>
      </c>
      <c r="I45" s="27" t="str">
        <f>IF($B45="","",IF(OR($H45=PriceList!$B$129,$H45=PriceList!$B$128),PriceList!$B$179,IF(OR($B45=PriceList!$B$154,$E45=PriceList!$B$193,$C45=PriceList!$B$5),PriceList!$B$180,IF(AND(OR($B45=PriceList!$B$163,$B45=PriceList!$B$164,ISNUMBER(SEARCH("180",$C45)),ISNUMBER(SEARCH("140",$C45)),ISNUMBER(SEARCH("200",$C45))),$E45=PriceList!$B$191),PriceList!$B$186,IF(AND(OR($B45=PriceList!$B$163,$B45=PriceList!$B$164,ISNUMBER(SEARCH("180",$C45)),ISNUMBER(SEARCH("140",$C45)),ISNUMBER(SEARCH("200",$C45))),$E45=PriceList!$B$192),PriceList!$B$185,IF(AND($B45=PriceList!$B$155,$E45=PriceList!$B$191),PriceList!$B$182,IF(AND(B45=PriceList!$B$155,E45=PriceList!$B$192),PriceList!$B$181,IF(AND($B45=PriceList!$B$156,$E45=PriceList!$B$191),PriceList!$B$184,IF(AND(B45=PriceList!$B$156,E45=PriceList!$B$192),PriceList!$B$183,IF(AND($B45=PriceList!$B$157,$H45&lt;&gt;PriceList!$B$128),PriceList!$B$180,PriceList!$B$179))))))))))</f>
        <v/>
      </c>
      <c r="J45" s="95" t="str">
        <f>IF($H45="","",VLOOKUP($H45,HandleLookup[],2,FALSE))</f>
        <v/>
      </c>
      <c r="K45" s="95" t="str">
        <f t="shared" ca="1" si="1"/>
        <v/>
      </c>
      <c r="L45" s="106" t="str">
        <f>IF($B45=PriceList!$B$163,"",IF(AND($B45=PriceList!$B$155,OR($C45="60x40",C45="60x60",C45="60x80")),"NB! Plywood is happier as drawers if possible.", IF(OR($C45="40x140",C45="40x180",C45="40x200",C45="60x140",C45="60x180",C45="60x200"),"NB! We recommend using MDF Doors for sizes over 120cm","")))</f>
        <v/>
      </c>
      <c r="M45" s="72" t="str">
        <f ca="1">IF(OR($B45="",$C$14=PriceList!$B$175),"", $F45*$N45+$F45*VLOOKUP($C45,INDIRECT($B45&amp;"Lookup"), $E$11,FALSE))</f>
        <v/>
      </c>
      <c r="N45">
        <f>IF(OR($C$12=PriceList!$B$167,$C$14=PriceList!$B$175),0,IF($H45=PriceList!$B$125,PriceList!$D$125,IF($H45=PriceList!$B$126,PriceList!$D$126,0)))</f>
        <v>0</v>
      </c>
    </row>
    <row r="46" spans="1:14" ht="15" customHeight="1" x14ac:dyDescent="0.5">
      <c r="A46" s="203"/>
      <c r="B46" s="94"/>
      <c r="C46" s="170"/>
      <c r="D46" s="171"/>
      <c r="E46" s="27" t="str">
        <f>IF($B46=0,"",IF($C46=PriceList!$B$19,PriceList!$B$190,IF(OR($B46=PriceList!$B$155,$B46=PriceList!$B$156,$B46=PriceList!$B$163,$B46=PriceList!$B$164),"",PriceList!$B$190)))</f>
        <v/>
      </c>
      <c r="F46" s="27"/>
      <c r="G46" s="122" t="str">
        <f t="shared" ca="1" si="0"/>
        <v/>
      </c>
      <c r="H46" s="27" t="str">
        <f>IF($B46=0,"",IF(OR($B46=PriceList!$B$156,$B46=PriceList!$B$157,$B46=PriceList!$B$161),PriceList!$B$128,IF(OR($C$15="",$C$15=PriceList!$B$124),PriceList!$B$129,IF(OR($B46=PriceList!$B$154,$B46=PriceList!$B$155,$B46=PriceList!$B$163,$B46=PriceList!$B$164),$C$15,PriceList!$B$129))))</f>
        <v/>
      </c>
      <c r="I46" s="27" t="str">
        <f>IF($B46="","",IF(OR($H46=PriceList!$B$129,$H46=PriceList!$B$128),PriceList!$B$179,IF(OR($B46=PriceList!$B$154,$E46=PriceList!$B$193,$C46=PriceList!$B$5),PriceList!$B$180,IF(AND(OR($B46=PriceList!$B$163,$B46=PriceList!$B$164,ISNUMBER(SEARCH("180",$C46)),ISNUMBER(SEARCH("140",$C46)),ISNUMBER(SEARCH("200",$C46))),$E46=PriceList!$B$191),PriceList!$B$186,IF(AND(OR($B46=PriceList!$B$163,$B46=PriceList!$B$164,ISNUMBER(SEARCH("180",$C46)),ISNUMBER(SEARCH("140",$C46)),ISNUMBER(SEARCH("200",$C46))),$E46=PriceList!$B$192),PriceList!$B$185,IF(AND($B46=PriceList!$B$155,$E46=PriceList!$B$191),PriceList!$B$182,IF(AND(B46=PriceList!$B$155,E46=PriceList!$B$192),PriceList!$B$181,IF(AND($B46=PriceList!$B$156,$E46=PriceList!$B$191),PriceList!$B$184,IF(AND(B46=PriceList!$B$156,E46=PriceList!$B$192),PriceList!$B$183,IF(AND($B46=PriceList!$B$157,$H46&lt;&gt;PriceList!$B$128),PriceList!$B$180,PriceList!$B$179))))))))))</f>
        <v/>
      </c>
      <c r="J46" s="95" t="str">
        <f>IF($H46="","",VLOOKUP($H46,HandleLookup[],2,FALSE))</f>
        <v/>
      </c>
      <c r="K46" s="95" t="str">
        <f t="shared" ca="1" si="1"/>
        <v/>
      </c>
      <c r="L46" s="106" t="str">
        <f>IF($B46=PriceList!$B$163,"",IF(AND($B46=PriceList!$B$155,OR($C46="60x40",C46="60x60",C46="60x80")),"NB! Plywood is happier as drawers if possible.", IF(OR($C46="40x140",C46="40x180",C46="40x200",C46="60x140",C46="60x180",C46="60x200"),"NB! We recommend using MDF Doors for sizes over 120cm","")))</f>
        <v/>
      </c>
      <c r="M46" s="72" t="str">
        <f ca="1">IF(OR($B46="",$C$14=PriceList!$B$175),"", $F46*$N46+$F46*VLOOKUP($C46,INDIRECT($B46&amp;"Lookup"), $E$11,FALSE))</f>
        <v/>
      </c>
      <c r="N46">
        <f>IF(OR($C$12=PriceList!$B$167,$C$14=PriceList!$B$175),0,IF($H46=PriceList!$B$125,PriceList!$D$125,IF($H46=PriceList!$B$126,PriceList!$D$126,0)))</f>
        <v>0</v>
      </c>
    </row>
    <row r="47" spans="1:14" ht="15" customHeight="1" x14ac:dyDescent="0.5">
      <c r="A47" s="203"/>
      <c r="B47" s="94"/>
      <c r="C47" s="170"/>
      <c r="D47" s="171"/>
      <c r="E47" s="27" t="str">
        <f>IF($B47=0,"",IF($C47=PriceList!$B$19,PriceList!$B$190,IF(OR($B47=PriceList!$B$155,$B47=PriceList!$B$156,$B47=PriceList!$B$163,$B47=PriceList!$B$164),"",PriceList!$B$190)))</f>
        <v/>
      </c>
      <c r="F47" s="27"/>
      <c r="G47" s="122" t="str">
        <f t="shared" ca="1" si="0"/>
        <v/>
      </c>
      <c r="H47" s="27" t="str">
        <f>IF($B47=0,"",IF(OR($B47=PriceList!$B$156,$B47=PriceList!$B$157,$B47=PriceList!$B$161),PriceList!$B$128,IF(OR($C$15="",$C$15=PriceList!$B$124),PriceList!$B$129,IF(OR($B47=PriceList!$B$154,$B47=PriceList!$B$155,$B47=PriceList!$B$163,$B47=PriceList!$B$164),$C$15,PriceList!$B$129))))</f>
        <v/>
      </c>
      <c r="I47" s="27" t="str">
        <f>IF($B47="","",IF(OR($H47=PriceList!$B$129,$H47=PriceList!$B$128),PriceList!$B$179,IF(OR($B47=PriceList!$B$154,$E47=PriceList!$B$193,$C47=PriceList!$B$5),PriceList!$B$180,IF(AND(OR($B47=PriceList!$B$163,$B47=PriceList!$B$164,ISNUMBER(SEARCH("180",$C47)),ISNUMBER(SEARCH("140",$C47)),ISNUMBER(SEARCH("200",$C47))),$E47=PriceList!$B$191),PriceList!$B$186,IF(AND(OR($B47=PriceList!$B$163,$B47=PriceList!$B$164,ISNUMBER(SEARCH("180",$C47)),ISNUMBER(SEARCH("140",$C47)),ISNUMBER(SEARCH("200",$C47))),$E47=PriceList!$B$192),PriceList!$B$185,IF(AND($B47=PriceList!$B$155,$E47=PriceList!$B$191),PriceList!$B$182,IF(AND(B47=PriceList!$B$155,E47=PriceList!$B$192),PriceList!$B$181,IF(AND($B47=PriceList!$B$156,$E47=PriceList!$B$191),PriceList!$B$184,IF(AND(B47=PriceList!$B$156,E47=PriceList!$B$192),PriceList!$B$183,IF(AND($B47=PriceList!$B$157,$H47&lt;&gt;PriceList!$B$128),PriceList!$B$180,PriceList!$B$179))))))))))</f>
        <v/>
      </c>
      <c r="J47" s="95" t="str">
        <f>IF($H47="","",VLOOKUP($H47,HandleLookup[],2,FALSE))</f>
        <v/>
      </c>
      <c r="K47" s="95" t="str">
        <f t="shared" ca="1" si="1"/>
        <v/>
      </c>
      <c r="L47" s="106" t="str">
        <f>IF($B47=PriceList!$B$163,"",IF(AND($B47=PriceList!$B$155,OR($C47="60x40",C47="60x60",C47="60x80")),"NB! Plywood is happier as drawers if possible.", IF(OR($C47="40x140",C47="40x180",C47="40x200",C47="60x140",C47="60x180",C47="60x200"),"NB! We recommend using MDF Doors for sizes over 120cm","")))</f>
        <v/>
      </c>
      <c r="M47" s="72" t="str">
        <f ca="1">IF(OR($B47="",$C$14=PriceList!$B$175),"", $F47*$N47+$F47*VLOOKUP($C47,INDIRECT($B47&amp;"Lookup"), $E$11,FALSE))</f>
        <v/>
      </c>
      <c r="N47">
        <f>IF(OR($C$12=PriceList!$B$167,$C$14=PriceList!$B$175),0,IF($H47=PriceList!$B$125,PriceList!$D$125,IF($H47=PriceList!$B$126,PriceList!$D$126,0)))</f>
        <v>0</v>
      </c>
    </row>
    <row r="48" spans="1:14" ht="15" customHeight="1" x14ac:dyDescent="0.5">
      <c r="A48" s="204"/>
      <c r="B48" s="153"/>
      <c r="C48" s="205"/>
      <c r="D48" s="206"/>
      <c r="E48" s="154" t="str">
        <f>IF($B48=0,"",IF($C48=PriceList!$B$19,PriceList!$B$190,IF(OR($B48=PriceList!$B$155,$B48=PriceList!$B$156,$B48=PriceList!$B$163,$B48=PriceList!$B$164),"",PriceList!$B$190)))</f>
        <v/>
      </c>
      <c r="F48" s="154"/>
      <c r="G48" s="155" t="str">
        <f t="shared" ca="1" si="0"/>
        <v/>
      </c>
      <c r="H48" s="154" t="str">
        <f>IF($B48=0,"",IF(OR($B48=PriceList!$B$156,$B48=PriceList!$B$157,$B48=PriceList!$B$161),PriceList!$B$128,IF(OR($C$15="",$C$15=PriceList!$B$124),PriceList!$B$129,IF(OR($B48=PriceList!$B$154,$B48=PriceList!$B$155,$B48=PriceList!$B$163,$B48=PriceList!$B$164),$C$15,PriceList!$B$129))))</f>
        <v/>
      </c>
      <c r="I48" s="154" t="str">
        <f>IF($B48="","",IF(OR($H48=PriceList!$B$129,$H48=PriceList!$B$128),PriceList!$B$179,IF(OR($B48=PriceList!$B$154,$E48=PriceList!$B$193,$C48=PriceList!$B$5),PriceList!$B$180,IF(AND(OR($B48=PriceList!$B$163,$B48=PriceList!$B$164,ISNUMBER(SEARCH("180",$C48)),ISNUMBER(SEARCH("140",$C48)),ISNUMBER(SEARCH("200",$C48))),$E48=PriceList!$B$191),PriceList!$B$186,IF(AND(OR($B48=PriceList!$B$163,$B48=PriceList!$B$164,ISNUMBER(SEARCH("180",$C48)),ISNUMBER(SEARCH("140",$C48)),ISNUMBER(SEARCH("200",$C48))),$E48=PriceList!$B$192),PriceList!$B$185,IF(AND($B48=PriceList!$B$155,$E48=PriceList!$B$191),PriceList!$B$182,IF(AND(B48=PriceList!$B$155,E48=PriceList!$B$192),PriceList!$B$181,IF(AND($B48=PriceList!$B$156,$E48=PriceList!$B$191),PriceList!$B$184,IF(AND(B48=PriceList!$B$156,E48=PriceList!$B$192),PriceList!$B$183,IF(AND($B48=PriceList!$B$157,$H48&lt;&gt;PriceList!$B$128),PriceList!$B$180,PriceList!$B$179))))))))))</f>
        <v/>
      </c>
      <c r="J48" s="156" t="str">
        <f>IF($H48="","",VLOOKUP($H48,HandleLookup[],2,FALSE))</f>
        <v/>
      </c>
      <c r="K48" s="156" t="str">
        <f t="shared" ca="1" si="1"/>
        <v/>
      </c>
      <c r="L48" s="106" t="str">
        <f>IF($B48=PriceList!$B$163,"",IF(AND($B48=PriceList!$B$155,OR($C48="60x40",C48="60x60",C48="60x80")),"NB! Plywood is happier as drawers if possible.", IF(OR($C48="40x140",C48="40x180",C48="40x200",C48="60x140",C48="60x180",C48="60x200"),"NB! We recommend using MDF Doors for sizes over 120cm","")))</f>
        <v/>
      </c>
      <c r="M48" s="72" t="str">
        <f ca="1">IF(OR($B48="",$C$14=PriceList!$B$175),"", $F48*$N48+$F48*VLOOKUP($C48,INDIRECT($B48&amp;"Lookup"), $E$11,FALSE))</f>
        <v/>
      </c>
      <c r="N48">
        <f>IF(OR($C$12=PriceList!$B$167,$C$14=PriceList!$B$175),0,IF($H48=PriceList!$B$125,PriceList!$D$125,IF($H48=PriceList!$B$126,PriceList!$D$126,0)))</f>
        <v>0</v>
      </c>
    </row>
    <row r="49" spans="1:20" ht="15" customHeight="1" x14ac:dyDescent="0.45">
      <c r="A49" s="208"/>
      <c r="B49" s="172" t="s">
        <v>204</v>
      </c>
      <c r="C49" s="172"/>
      <c r="D49" s="172"/>
      <c r="E49" s="172"/>
      <c r="F49" s="172"/>
      <c r="G49" s="172"/>
      <c r="H49" s="172"/>
      <c r="I49" s="172"/>
      <c r="J49" s="172"/>
      <c r="K49" s="173"/>
      <c r="L49" s="106"/>
      <c r="M49" s="72"/>
    </row>
    <row r="50" spans="1:20" ht="15" customHeight="1" x14ac:dyDescent="0.45">
      <c r="A50" s="209"/>
      <c r="B50" s="174"/>
      <c r="C50" s="174"/>
      <c r="D50" s="174"/>
      <c r="E50" s="174"/>
      <c r="F50" s="174"/>
      <c r="G50" s="174"/>
      <c r="H50" s="174"/>
      <c r="I50" s="174"/>
      <c r="J50" s="174"/>
      <c r="K50" s="175"/>
      <c r="L50" s="106"/>
      <c r="M50" s="72"/>
    </row>
    <row r="51" spans="1:20" ht="15" customHeight="1" x14ac:dyDescent="0.5">
      <c r="A51" s="207" t="s">
        <v>233</v>
      </c>
      <c r="B51" s="157" t="s">
        <v>0</v>
      </c>
      <c r="C51" s="157" t="s">
        <v>205</v>
      </c>
      <c r="D51" s="157" t="s">
        <v>206</v>
      </c>
      <c r="E51" s="157" t="s">
        <v>72</v>
      </c>
      <c r="F51" s="157" t="s">
        <v>89</v>
      </c>
      <c r="G51" s="158" t="s">
        <v>90</v>
      </c>
      <c r="H51" s="157" t="s">
        <v>61</v>
      </c>
      <c r="I51" s="157" t="s">
        <v>67</v>
      </c>
      <c r="J51" s="158" t="s">
        <v>91</v>
      </c>
      <c r="K51" s="158" t="s">
        <v>92</v>
      </c>
      <c r="L51" s="106"/>
      <c r="M51" s="72"/>
      <c r="O51" s="169" t="s">
        <v>225</v>
      </c>
      <c r="P51" s="169" t="s">
        <v>226</v>
      </c>
      <c r="Q51" s="169" t="s">
        <v>227</v>
      </c>
      <c r="R51" s="169" t="s">
        <v>228</v>
      </c>
      <c r="S51" s="169" t="s">
        <v>229</v>
      </c>
      <c r="T51" s="169" t="s">
        <v>230</v>
      </c>
    </row>
    <row r="52" spans="1:20" ht="15" customHeight="1" x14ac:dyDescent="0.5">
      <c r="A52" s="203"/>
      <c r="B52" s="94"/>
      <c r="C52" s="146"/>
      <c r="D52" s="146"/>
      <c r="E52" s="27" t="str">
        <f>IF($B52=0,"",IF($C52=PriceList!$B$19,PriceList!$B$190,IF(OR($B52=PriceList!$B$155,$B52=PriceList!$B$156,$B52=PriceList!$B$163,$B52=PriceList!$B$164),"",PriceList!$B$190)))</f>
        <v/>
      </c>
      <c r="F52" s="27"/>
      <c r="G52" s="168" t="str">
        <f>IF($D52="","",IF($B52=PriceList!$B$163,ROUNDUP((VLOOKUP($T$52,PriceLookup,2,FALSE))*(ROUNDUP($D52*$C52/1000000,2)),0),IF($B52=PriceList!$C$160,ROUNDUP((VLOOKUP($S$52,PriceLookup,2,FALSE))*(ROUNDUP($D52*$C52/1000000,2)),0),ROUNDUP((VLOOKUP($C$12,PriceLookup,2,FALSE))*(ROUNDUP($D52*$C52/1000000,2)),0))))</f>
        <v/>
      </c>
      <c r="H52" s="27" t="str">
        <f>IF($B52=0,"",IF(OR($B52=PriceList!$B$156,$B52=PriceList!$B$157,$B52=PriceList!$B$161),PriceList!$B$128,IF(OR($C$15="",$C$15=PriceList!$B$124),PriceList!$B$129,IF(OR($B52=PriceList!$B$154,$B52=PriceList!$B$155,$B52=PriceList!$B$163,$B52=PriceList!$B$164),$C$15,PriceList!$B$129))))</f>
        <v/>
      </c>
      <c r="I52" s="27" t="str">
        <f>IF($B52="","",IF(OR($H52=PriceList!$B$129,$H52=PriceList!$B$128),PriceList!$B$179,IF(OR($B52=PriceList!$B$154,$E52=PriceList!$B$193,$C52=PriceList!$B$5),PriceList!$B$180,IF(AND(OR($B52=PriceList!$B$163,$B52=PriceList!$B$164,ISNUMBER(SEARCH("180",$C52)),ISNUMBER(SEARCH("140",$C52)),ISNUMBER(SEARCH("200",$C52))),$E52=PriceList!$B$191),PriceList!$B$186,IF(AND(OR($B52=PriceList!$B$163,$B52=PriceList!$B$164,ISNUMBER(SEARCH("180",$C52)),ISNUMBER(SEARCH("140",$C52)),ISNUMBER(SEARCH("200",$C52))),$E52=PriceList!$B$192),PriceList!$B$185,IF(AND($B52=PriceList!$B$155,$E52=PriceList!$B$191),PriceList!$B$182,IF(AND(B52=PriceList!$B$155,E52=PriceList!$B$192),PriceList!$B$181,IF(AND($B52=PriceList!$B$156,$E52=PriceList!$B$191),PriceList!$B$184,IF(AND(B52=PriceList!$B$156,E52=PriceList!$B$192),PriceList!$B$183,IF(AND($B52=PriceList!$B$157,$H52&lt;&gt;PriceList!$B$128),PriceList!$B$180,PriceList!$B$179))))))))))</f>
        <v/>
      </c>
      <c r="J52" s="95" t="str">
        <f>IF($H52="","",VLOOKUP($H52,HandleLookup[],2,FALSE))</f>
        <v/>
      </c>
      <c r="K52" s="95" t="str">
        <f t="shared" si="1"/>
        <v/>
      </c>
      <c r="L52" s="106" t="str">
        <f>IF($B52=PriceList!$B$163,"",IF(AND($B52=PriceList!$B$155,OR($C52="60x40",C52="60x60",C52="60x80")),"NB! Plywood is happier as drawers if possible.", IF(OR($C52="40x140",C52="40x180",C52="40x200",C52="60x140",C52="60x180",C52="60x200"),"NB! We recommend using MDF Doors for sizes over 120cm","")))</f>
        <v/>
      </c>
      <c r="M52" s="72" t="str">
        <f>IF(OR($C$12=PriceList!$B$134,$C$12=PriceList!$B$139,AND($C$12=PriceList!$B$134,$B52=PriceList!$C$164)),ROUNDUP($F52*$Q52*PriceList!$D$146,0),IF(OR($B52="",$C$14=PriceList!$B$175,$B52=PriceList!$C$164),"",IF($C$12=PriceList!$B$136,ROUNDUP($F52*($R52*PriceList!$E$136+$N52),0),ROUNDUP($F52*($R52*PriceList!$E$135+$N52),0))))</f>
        <v/>
      </c>
      <c r="N52">
        <f>IF(OR($C$12=PriceList!$B$167,$C$14=PriceList!$B$175),0,IF($H52=PriceList!$B$125,PriceList!$D$125,IF($H52=PriceList!$B$126,PriceList!$D$126,0)))</f>
        <v>0</v>
      </c>
      <c r="O52" s="79">
        <f>$C52*$D52*0.000002</f>
        <v>0</v>
      </c>
      <c r="P52" s="79">
        <f>IF($B52=PriceList!$C$160,($C52+$D52)*0.002*0.03,($C52+$D52)*0.002*0.018)</f>
        <v>0</v>
      </c>
      <c r="Q52" s="79">
        <f>$O52+$P52</f>
        <v>0</v>
      </c>
      <c r="R52" s="79">
        <f>($C52+$D52)*2/1000</f>
        <v>0</v>
      </c>
      <c r="S52" s="79" t="str">
        <f>"30mm "&amp;$C$12&amp;" Counter Top"</f>
        <v>30mm  Counter Top</v>
      </c>
      <c r="T52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3" spans="1:20" ht="15" customHeight="1" x14ac:dyDescent="0.5">
      <c r="A53" s="203"/>
      <c r="B53" s="94"/>
      <c r="C53" s="146"/>
      <c r="D53" s="146"/>
      <c r="E53" s="27" t="str">
        <f>IF($B53=0,"",IF($C53=PriceList!$B$19,PriceList!$B$190,IF(OR($B53=PriceList!$B$155,$B53=PriceList!$B$156,$B53=PriceList!$B$163,$B53=PriceList!$B$164),"",PriceList!$B$190)))</f>
        <v/>
      </c>
      <c r="F53" s="27"/>
      <c r="G53" s="168" t="str">
        <f>IF($D53="","",IF($B53=PriceList!$B$163,ROUNDUP((VLOOKUP($T$52,PriceLookup,2,FALSE))*(ROUNDUP($D53*$C53/1000000,2)),0),IF($B53=PriceList!$C$160,ROUNDUP((VLOOKUP($S$52,PriceLookup,2,FALSE))*(ROUNDUP($D53*$C53/1000000,2)),0),ROUNDUP((VLOOKUP($C$12,PriceLookup,2,FALSE))*(ROUNDUP($D53*$C53/1000000,2)),0))))</f>
        <v/>
      </c>
      <c r="H53" s="27" t="str">
        <f>IF($B53=0,"",IF(OR($B53=PriceList!$B$156,$B53=PriceList!$B$157,$B53=PriceList!$B$161),PriceList!$B$128,IF(OR($C$15="",$C$15=PriceList!$B$124),PriceList!$B$129,IF(OR($B53=PriceList!$B$154,$B53=PriceList!$B$155,$B53=PriceList!$B$163,$B53=PriceList!$B$164),$C$15,PriceList!$B$129))))</f>
        <v/>
      </c>
      <c r="I53" s="27" t="str">
        <f>IF($B53="","",IF(OR($H53=PriceList!$B$129,$H53=PriceList!$B$128),PriceList!$B$179,IF(OR($B53=PriceList!$B$154,$E53=PriceList!$B$193,$C53=PriceList!$B$5),PriceList!$B$180,IF(AND(OR($B53=PriceList!$B$163,$B53=PriceList!$B$164,ISNUMBER(SEARCH("180",$C53)),ISNUMBER(SEARCH("140",$C53)),ISNUMBER(SEARCH("200",$C53))),$E53=PriceList!$B$191),PriceList!$B$186,IF(AND(OR($B53=PriceList!$B$163,$B53=PriceList!$B$164,ISNUMBER(SEARCH("180",$C53)),ISNUMBER(SEARCH("140",$C53)),ISNUMBER(SEARCH("200",$C53))),$E53=PriceList!$B$192),PriceList!$B$185,IF(AND($B53=PriceList!$B$155,$E53=PriceList!$B$191),PriceList!$B$182,IF(AND(B53=PriceList!$B$155,E53=PriceList!$B$192),PriceList!$B$181,IF(AND($B53=PriceList!$B$156,$E53=PriceList!$B$191),PriceList!$B$184,IF(AND(B53=PriceList!$B$156,E53=PriceList!$B$192),PriceList!$B$183,IF(AND($B53=PriceList!$B$157,$H53&lt;&gt;PriceList!$B$128),PriceList!$B$180,PriceList!$B$179))))))))))</f>
        <v/>
      </c>
      <c r="J53" s="95" t="str">
        <f>IF($H53="","",VLOOKUP($H53,HandleLookup[],2,FALSE))</f>
        <v/>
      </c>
      <c r="K53" s="95" t="str">
        <f t="shared" si="1"/>
        <v/>
      </c>
      <c r="L53" s="106" t="str">
        <f>IF($B53=PriceList!$B$163,"",IF(AND($B53=PriceList!$B$155,OR($C53="60x40",C53="60x60",C53="60x80")),"NB! Plywood is happier as drawers if possible.", IF(OR($C53="40x140",C53="40x180",C53="40x200",C53="60x140",C53="60x180",C53="60x200"),"NB! We recommend using MDF Doors for sizes over 120cm","")))</f>
        <v/>
      </c>
      <c r="M53" s="72" t="str">
        <f>IF(OR($C$12=PriceList!$B$134,$C$12=PriceList!$B$139,AND($C$12=PriceList!$B$134,$B53=PriceList!$C$164)),ROUNDUP($F53*$Q53*PriceList!$D$146,0),IF(OR($B53="",$C$14=PriceList!$B$175,$B53=PriceList!$C$164),"",IF($C$12=PriceList!$B$136,ROUNDUP($F53*($R53*PriceList!$E$136+$N53),0),ROUNDUP($F53*($R53*PriceList!$E$135+$N53),0))))</f>
        <v/>
      </c>
      <c r="N53">
        <f>IF(OR($C$12=PriceList!$B$167,$C$14=PriceList!$B$175),0,IF($H53=PriceList!$B$125,PriceList!$D$125,IF($H53=PriceList!$B$126,PriceList!$D$126,0)))</f>
        <v>0</v>
      </c>
      <c r="O53" s="79">
        <f t="shared" ref="O53:O101" si="2">$C53*$D53*0.000002</f>
        <v>0</v>
      </c>
      <c r="P53" s="79">
        <f>IF($B53=PriceList!$C$160,($C53+$D53)*0.002*0.03,($C53+$D53)*0.002*0.018)</f>
        <v>0</v>
      </c>
      <c r="Q53" s="79">
        <f t="shared" ref="Q53:Q101" si="3">$O53+$P53</f>
        <v>0</v>
      </c>
      <c r="R53" s="79">
        <f t="shared" ref="R53:R101" si="4">($C53+$D53)*2/1000</f>
        <v>0</v>
      </c>
      <c r="S53" s="79" t="str">
        <f t="shared" ref="S53:S101" si="5">"30mm "&amp;$C$12&amp;" Counter Top"</f>
        <v>30mm  Counter Top</v>
      </c>
      <c r="T53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4" spans="1:20" ht="15" customHeight="1" x14ac:dyDescent="0.5">
      <c r="A54" s="203"/>
      <c r="B54" s="94"/>
      <c r="C54" s="146"/>
      <c r="D54" s="146"/>
      <c r="E54" s="27" t="str">
        <f>IF($B54=0,"",IF($C54=PriceList!$B$19,PriceList!$B$190,IF(OR($B54=PriceList!$B$155,$B54=PriceList!$B$156,$B54=PriceList!$B$163,$B54=PriceList!$B$164),"",PriceList!$B$190)))</f>
        <v/>
      </c>
      <c r="F54" s="27"/>
      <c r="G54" s="168" t="str">
        <f>IF($D54="","",IF($B54=PriceList!$B$163,ROUNDUP((VLOOKUP($T$52,PriceLookup,2,FALSE))*(ROUNDUP($D54*$C54/1000000,2)),0),IF($B54=PriceList!$C$160,ROUNDUP((VLOOKUP($S$52,PriceLookup,2,FALSE))*(ROUNDUP($D54*$C54/1000000,2)),0),ROUNDUP((VLOOKUP($C$12,PriceLookup,2,FALSE))*(ROUNDUP($D54*$C54/1000000,2)),0))))</f>
        <v/>
      </c>
      <c r="H54" s="27" t="str">
        <f>IF($B54=0,"",IF(OR($B54=PriceList!$B$156,$B54=PriceList!$B$157,$B54=PriceList!$B$161),PriceList!$B$128,IF(OR($C$15="",$C$15=PriceList!$B$124),PriceList!$B$129,IF(OR($B54=PriceList!$B$154,$B54=PriceList!$B$155,$B54=PriceList!$B$163,$B54=PriceList!$B$164),$C$15,PriceList!$B$129))))</f>
        <v/>
      </c>
      <c r="I54" s="27" t="str">
        <f>IF($B54="","",IF(OR($H54=PriceList!$B$129,$H54=PriceList!$B$128),PriceList!$B$179,IF(OR($B54=PriceList!$B$154,$E54=PriceList!$B$193,$C54=PriceList!$B$5),PriceList!$B$180,IF(AND(OR($B54=PriceList!$B$163,$B54=PriceList!$B$164,ISNUMBER(SEARCH("180",$C54)),ISNUMBER(SEARCH("140",$C54)),ISNUMBER(SEARCH("200",$C54))),$E54=PriceList!$B$191),PriceList!$B$186,IF(AND(OR($B54=PriceList!$B$163,$B54=PriceList!$B$164,ISNUMBER(SEARCH("180",$C54)),ISNUMBER(SEARCH("140",$C54)),ISNUMBER(SEARCH("200",$C54))),$E54=PriceList!$B$192),PriceList!$B$185,IF(AND($B54=PriceList!$B$155,$E54=PriceList!$B$191),PriceList!$B$182,IF(AND(B54=PriceList!$B$155,E54=PriceList!$B$192),PriceList!$B$181,IF(AND($B54=PriceList!$B$156,$E54=PriceList!$B$191),PriceList!$B$184,IF(AND(B54=PriceList!$B$156,E54=PriceList!$B$192),PriceList!$B$183,IF(AND($B54=PriceList!$B$157,$H54&lt;&gt;PriceList!$B$128),PriceList!$B$180,PriceList!$B$179))))))))))</f>
        <v/>
      </c>
      <c r="J54" s="95" t="str">
        <f>IF($H54="","",VLOOKUP($H54,HandleLookup[],2,FALSE))</f>
        <v/>
      </c>
      <c r="K54" s="95" t="str">
        <f t="shared" si="1"/>
        <v/>
      </c>
      <c r="L54" s="106" t="str">
        <f>IF($B54=PriceList!$B$163,"",IF(AND($B54=PriceList!$B$155,OR($C54="60x40",C54="60x60",C54="60x80")),"NB! Plywood is happier as drawers if possible.", IF(OR($C54="40x140",C54="40x180",C54="40x200",C54="60x140",C54="60x180",C54="60x200"),"NB! We recommend using MDF Doors for sizes over 120cm","")))</f>
        <v/>
      </c>
      <c r="M54" s="72" t="str">
        <f>IF(OR($C$12=PriceList!$B$134,$C$12=PriceList!$B$139,AND($C$12=PriceList!$B$134,$B54=PriceList!$C$164)),ROUNDUP($F54*$Q54*PriceList!$D$146,0),IF(OR($B54="",$C$14=PriceList!$B$175,$B54=PriceList!$C$164),"",IF($C$12=PriceList!$B$136,ROUNDUP($F54*($R54*PriceList!$E$136+$N54),0),ROUNDUP($F54*($R54*PriceList!$E$135+$N54),0))))</f>
        <v/>
      </c>
      <c r="N54">
        <f>IF(OR($C$12=PriceList!$B$167,$C$14=PriceList!$B$175),0,IF($H54=PriceList!$B$125,PriceList!$D$125,IF($H54=PriceList!$B$126,PriceList!$D$126,0)))</f>
        <v>0</v>
      </c>
      <c r="O54" s="79">
        <f t="shared" si="2"/>
        <v>0</v>
      </c>
      <c r="P54" s="79">
        <f>IF($B54=PriceList!$C$160,($C54+$D54)*0.002*0.03,($C54+$D54)*0.002*0.018)</f>
        <v>0</v>
      </c>
      <c r="Q54" s="79">
        <f t="shared" si="3"/>
        <v>0</v>
      </c>
      <c r="R54" s="79">
        <f t="shared" si="4"/>
        <v>0</v>
      </c>
      <c r="S54" s="79" t="str">
        <f t="shared" si="5"/>
        <v>30mm  Counter Top</v>
      </c>
      <c r="T54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5" spans="1:20" ht="15" customHeight="1" x14ac:dyDescent="0.5">
      <c r="A55" s="203"/>
      <c r="B55" s="94"/>
      <c r="C55" s="146"/>
      <c r="D55" s="146"/>
      <c r="E55" s="27" t="str">
        <f>IF($B55=0,"",IF($C55=PriceList!$B$19,PriceList!$B$190,IF(OR($B55=PriceList!$B$155,$B55=PriceList!$B$156,$B55=PriceList!$B$163,$B55=PriceList!$B$164),"",PriceList!$B$190)))</f>
        <v/>
      </c>
      <c r="F55" s="27"/>
      <c r="G55" s="168" t="str">
        <f>IF($D55="","",IF($B55=PriceList!$B$163,ROUNDUP((VLOOKUP($T$52,PriceLookup,2,FALSE))*(ROUNDUP($D55*$C55/1000000,2)),0),IF($B55=PriceList!$C$160,ROUNDUP((VLOOKUP($S$52,PriceLookup,2,FALSE))*(ROUNDUP($D55*$C55/1000000,2)),0),ROUNDUP((VLOOKUP($C$12,PriceLookup,2,FALSE))*(ROUNDUP($D55*$C55/1000000,2)),0))))</f>
        <v/>
      </c>
      <c r="H55" s="27" t="str">
        <f>IF($B55=0,"",IF(OR($B55=PriceList!$B$156,$B55=PriceList!$B$157,$B55=PriceList!$B$161),PriceList!$B$128,IF(OR($C$15="",$C$15=PriceList!$B$124),PriceList!$B$129,IF(OR($B55=PriceList!$B$154,$B55=PriceList!$B$155,$B55=PriceList!$B$163,$B55=PriceList!$B$164),$C$15,PriceList!$B$129))))</f>
        <v/>
      </c>
      <c r="I55" s="27" t="str">
        <f>IF($B55="","",IF(OR($H55=PriceList!$B$129,$H55=PriceList!$B$128),PriceList!$B$179,IF(OR($B55=PriceList!$B$154,$E55=PriceList!$B$193,$C55=PriceList!$B$5),PriceList!$B$180,IF(AND(OR($B55=PriceList!$B$163,$B55=PriceList!$B$164,ISNUMBER(SEARCH("180",$C55)),ISNUMBER(SEARCH("140",$C55)),ISNUMBER(SEARCH("200",$C55))),$E55=PriceList!$B$191),PriceList!$B$186,IF(AND(OR($B55=PriceList!$B$163,$B55=PriceList!$B$164,ISNUMBER(SEARCH("180",$C55)),ISNUMBER(SEARCH("140",$C55)),ISNUMBER(SEARCH("200",$C55))),$E55=PriceList!$B$192),PriceList!$B$185,IF(AND($B55=PriceList!$B$155,$E55=PriceList!$B$191),PriceList!$B$182,IF(AND(B55=PriceList!$B$155,E55=PriceList!$B$192),PriceList!$B$181,IF(AND($B55=PriceList!$B$156,$E55=PriceList!$B$191),PriceList!$B$184,IF(AND(B55=PriceList!$B$156,E55=PriceList!$B$192),PriceList!$B$183,IF(AND($B55=PriceList!$B$157,$H55&lt;&gt;PriceList!$B$128),PriceList!$B$180,PriceList!$B$179))))))))))</f>
        <v/>
      </c>
      <c r="J55" s="95" t="str">
        <f>IF($H55="","",VLOOKUP($H55,HandleLookup[],2,FALSE))</f>
        <v/>
      </c>
      <c r="K55" s="95" t="str">
        <f t="shared" si="1"/>
        <v/>
      </c>
      <c r="L55" s="106" t="str">
        <f>IF($B55=PriceList!$B$163,"",IF(AND($B55=PriceList!$B$155,OR($C55="60x40",C55="60x60",C55="60x80")),"NB! Plywood is happier as drawers if possible.", IF(OR($C55="40x140",C55="40x180",C55="40x200",C55="60x140",C55="60x180",C55="60x200"),"NB! We recommend using MDF Doors for sizes over 120cm","")))</f>
        <v/>
      </c>
      <c r="M55" s="72" t="str">
        <f>IF(OR($C$12=PriceList!$B$134,$C$12=PriceList!$B$139,AND($C$12=PriceList!$B$134,$B55=PriceList!$C$164)),ROUNDUP($F55*$Q55*PriceList!$D$146,0),IF(OR($B55="",$C$14=PriceList!$B$175,$B55=PriceList!$C$164),"",IF($C$12=PriceList!$B$136,ROUNDUP($F55*($R55*PriceList!$E$136+$N55),0),ROUNDUP($F55*($R55*PriceList!$E$135+$N55),0))))</f>
        <v/>
      </c>
      <c r="N55">
        <f>IF(OR($C$12=PriceList!$B$167,$C$14=PriceList!$B$175),0,IF($H55=PriceList!$B$125,PriceList!$D$125,IF($H55=PriceList!$B$126,PriceList!$D$126,0)))</f>
        <v>0</v>
      </c>
      <c r="O55" s="79">
        <f t="shared" si="2"/>
        <v>0</v>
      </c>
      <c r="P55" s="79">
        <f>IF($B55=PriceList!$C$160,($C55+$D55)*0.002*0.03,($C55+$D55)*0.002*0.018)</f>
        <v>0</v>
      </c>
      <c r="Q55" s="79">
        <f t="shared" si="3"/>
        <v>0</v>
      </c>
      <c r="R55" s="79">
        <f t="shared" si="4"/>
        <v>0</v>
      </c>
      <c r="S55" s="79" t="str">
        <f t="shared" si="5"/>
        <v>30mm  Counter Top</v>
      </c>
      <c r="T55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6" spans="1:20" ht="15" customHeight="1" x14ac:dyDescent="0.5">
      <c r="A56" s="203"/>
      <c r="B56" s="94"/>
      <c r="C56" s="146"/>
      <c r="D56" s="146"/>
      <c r="E56" s="27" t="str">
        <f>IF($B56=0,"",IF($C56=PriceList!$B$19,PriceList!$B$190,IF(OR($B56=PriceList!$B$155,$B56=PriceList!$B$156,$B56=PriceList!$B$163,$B56=PriceList!$B$164),"",PriceList!$B$190)))</f>
        <v/>
      </c>
      <c r="F56" s="27"/>
      <c r="G56" s="168" t="str">
        <f>IF($D56="","",IF($B56=PriceList!$B$163,ROUNDUP((VLOOKUP($T$52,PriceLookup,2,FALSE))*(ROUNDUP($D56*$C56/1000000,2)),0),IF($B56=PriceList!$C$160,ROUNDUP((VLOOKUP($S$52,PriceLookup,2,FALSE))*(ROUNDUP($D56*$C56/1000000,2)),0),ROUNDUP((VLOOKUP($C$12,PriceLookup,2,FALSE))*(ROUNDUP($D56*$C56/1000000,2)),0))))</f>
        <v/>
      </c>
      <c r="H56" s="27" t="str">
        <f>IF($B56=0,"",IF(OR($B56=PriceList!$B$156,$B56=PriceList!$B$157,$B56=PriceList!$B$161),PriceList!$B$128,IF(OR($C$15="",$C$15=PriceList!$B$124),PriceList!$B$129,IF(OR($B56=PriceList!$B$154,$B56=PriceList!$B$155,$B56=PriceList!$B$163,$B56=PriceList!$B$164),$C$15,PriceList!$B$129))))</f>
        <v/>
      </c>
      <c r="I56" s="27" t="str">
        <f>IF($B56="","",IF(OR($H56=PriceList!$B$129,$H56=PriceList!$B$128),PriceList!$B$179,IF(OR($B56=PriceList!$B$154,$E56=PriceList!$B$193,$C56=PriceList!$B$5),PriceList!$B$180,IF(AND(OR($B56=PriceList!$B$163,$B56=PriceList!$B$164,ISNUMBER(SEARCH("180",$C56)),ISNUMBER(SEARCH("140",$C56)),ISNUMBER(SEARCH("200",$C56))),$E56=PriceList!$B$191),PriceList!$B$186,IF(AND(OR($B56=PriceList!$B$163,$B56=PriceList!$B$164,ISNUMBER(SEARCH("180",$C56)),ISNUMBER(SEARCH("140",$C56)),ISNUMBER(SEARCH("200",$C56))),$E56=PriceList!$B$192),PriceList!$B$185,IF(AND($B56=PriceList!$B$155,$E56=PriceList!$B$191),PriceList!$B$182,IF(AND(B56=PriceList!$B$155,E56=PriceList!$B$192),PriceList!$B$181,IF(AND($B56=PriceList!$B$156,$E56=PriceList!$B$191),PriceList!$B$184,IF(AND(B56=PriceList!$B$156,E56=PriceList!$B$192),PriceList!$B$183,IF(AND($B56=PriceList!$B$157,$H56&lt;&gt;PriceList!$B$128),PriceList!$B$180,PriceList!$B$179))))))))))</f>
        <v/>
      </c>
      <c r="J56" s="95" t="str">
        <f>IF($H56="","",VLOOKUP($H56,HandleLookup[],2,FALSE))</f>
        <v/>
      </c>
      <c r="K56" s="95" t="str">
        <f t="shared" si="1"/>
        <v/>
      </c>
      <c r="L56" s="106" t="str">
        <f>IF($B56=PriceList!$B$163,"",IF(AND($B56=PriceList!$B$155,OR($C56="60x40",C56="60x60",C56="60x80")),"NB! Plywood is happier as drawers if possible.", IF(OR($C56="40x140",C56="40x180",C56="40x200",C56="60x140",C56="60x180",C56="60x200"),"NB! We recommend using MDF Doors for sizes over 120cm","")))</f>
        <v/>
      </c>
      <c r="M56" s="72" t="str">
        <f>IF(OR($C$12=PriceList!$B$134,$C$12=PriceList!$B$139,AND($C$12=PriceList!$B$134,$B56=PriceList!$C$164)),ROUNDUP($F56*$Q56*PriceList!$D$146,0),IF(OR($B56="",$C$14=PriceList!$B$175,$B56=PriceList!$C$164),"",IF($C$12=PriceList!$B$136,ROUNDUP($F56*($R56*PriceList!$E$136+$N56),0),ROUNDUP($F56*($R56*PriceList!$E$135+$N56),0))))</f>
        <v/>
      </c>
      <c r="N56">
        <f>IF(OR($C$12=PriceList!$B$167,$C$14=PriceList!$B$175),0,IF($H56=PriceList!$B$125,PriceList!$D$125,IF($H56=PriceList!$B$126,PriceList!$D$126,0)))</f>
        <v>0</v>
      </c>
      <c r="O56" s="79">
        <f t="shared" si="2"/>
        <v>0</v>
      </c>
      <c r="P56" s="79">
        <f>IF($B56=PriceList!$C$160,($C56+$D56)*0.002*0.03,($C56+$D56)*0.002*0.018)</f>
        <v>0</v>
      </c>
      <c r="Q56" s="79">
        <f t="shared" si="3"/>
        <v>0</v>
      </c>
      <c r="R56" s="79">
        <f t="shared" si="4"/>
        <v>0</v>
      </c>
      <c r="S56" s="79" t="str">
        <f t="shared" si="5"/>
        <v>30mm  Counter Top</v>
      </c>
      <c r="T56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7" spans="1:20" ht="15" customHeight="1" x14ac:dyDescent="0.5">
      <c r="A57" s="203"/>
      <c r="B57" s="94"/>
      <c r="C57" s="146"/>
      <c r="D57" s="146"/>
      <c r="E57" s="27" t="str">
        <f>IF($B57=0,"",IF($C57=PriceList!$B$19,PriceList!$B$190,IF(OR($B57=PriceList!$B$155,$B57=PriceList!$B$156,$B57=PriceList!$B$163,$B57=PriceList!$B$164),"",PriceList!$B$190)))</f>
        <v/>
      </c>
      <c r="F57" s="27"/>
      <c r="G57" s="168" t="str">
        <f>IF($D57="","",IF($B57=PriceList!$B$163,ROUNDUP((VLOOKUP($T$52,PriceLookup,2,FALSE))*(ROUNDUP($D57*$C57/1000000,2)),0),IF($B57=PriceList!$C$160,ROUNDUP((VLOOKUP($S$52,PriceLookup,2,FALSE))*(ROUNDUP($D57*$C57/1000000,2)),0),ROUNDUP((VLOOKUP($C$12,PriceLookup,2,FALSE))*(ROUNDUP($D57*$C57/1000000,2)),0))))</f>
        <v/>
      </c>
      <c r="H57" s="27" t="str">
        <f>IF($B57=0,"",IF(OR($B57=PriceList!$B$156,$B57=PriceList!$B$157,$B57=PriceList!$B$161),PriceList!$B$128,IF(OR($C$15="",$C$15=PriceList!$B$124),PriceList!$B$129,IF(OR($B57=PriceList!$B$154,$B57=PriceList!$B$155,$B57=PriceList!$B$163,$B57=PriceList!$B$164),$C$15,PriceList!$B$129))))</f>
        <v/>
      </c>
      <c r="I57" s="27" t="str">
        <f>IF($B57="","",IF(OR($H57=PriceList!$B$129,$H57=PriceList!$B$128),PriceList!$B$179,IF(OR($B57=PriceList!$B$154,$E57=PriceList!$B$193,$C57=PriceList!$B$5),PriceList!$B$180,IF(AND(OR($B57=PriceList!$B$163,$B57=PriceList!$B$164,ISNUMBER(SEARCH("180",$C57)),ISNUMBER(SEARCH("140",$C57)),ISNUMBER(SEARCH("200",$C57))),$E57=PriceList!$B$191),PriceList!$B$186,IF(AND(OR($B57=PriceList!$B$163,$B57=PriceList!$B$164,ISNUMBER(SEARCH("180",$C57)),ISNUMBER(SEARCH("140",$C57)),ISNUMBER(SEARCH("200",$C57))),$E57=PriceList!$B$192),PriceList!$B$185,IF(AND($B57=PriceList!$B$155,$E57=PriceList!$B$191),PriceList!$B$182,IF(AND(B57=PriceList!$B$155,E57=PriceList!$B$192),PriceList!$B$181,IF(AND($B57=PriceList!$B$156,$E57=PriceList!$B$191),PriceList!$B$184,IF(AND(B57=PriceList!$B$156,E57=PriceList!$B$192),PriceList!$B$183,IF(AND($B57=PriceList!$B$157,$H57&lt;&gt;PriceList!$B$128),PriceList!$B$180,PriceList!$B$179))))))))))</f>
        <v/>
      </c>
      <c r="J57" s="95" t="str">
        <f>IF($H57="","",VLOOKUP($H57,HandleLookup[],2,FALSE))</f>
        <v/>
      </c>
      <c r="K57" s="95" t="str">
        <f t="shared" si="1"/>
        <v/>
      </c>
      <c r="L57" s="106" t="str">
        <f>IF($B57=PriceList!$B$163,"",IF(AND($B57=PriceList!$B$155,OR($C57="60x40",C57="60x60",C57="60x80")),"NB! Plywood is happier as drawers if possible.", IF(OR($C57="40x140",C57="40x180",C57="40x200",C57="60x140",C57="60x180",C57="60x200"),"NB! We recommend using MDF Doors for sizes over 120cm","")))</f>
        <v/>
      </c>
      <c r="M57" s="72" t="str">
        <f>IF(OR($C$12=PriceList!$B$134,$C$12=PriceList!$B$139,AND($C$12=PriceList!$B$134,$B57=PriceList!$C$164)),ROUNDUP($F57*$Q57*PriceList!$D$146,0),IF(OR($B57="",$C$14=PriceList!$B$175,$B57=PriceList!$C$164),"",IF($C$12=PriceList!$B$136,ROUNDUP($F57*($R57*PriceList!$E$136+$N57),0),ROUNDUP($F57*($R57*PriceList!$E$135+$N57),0))))</f>
        <v/>
      </c>
      <c r="N57">
        <f>IF(OR($C$12=PriceList!$B$167,$C$14=PriceList!$B$175),0,IF($H57=PriceList!$B$125,PriceList!$D$125,IF($H57=PriceList!$B$126,PriceList!$D$126,0)))</f>
        <v>0</v>
      </c>
      <c r="O57" s="79">
        <f t="shared" si="2"/>
        <v>0</v>
      </c>
      <c r="P57" s="79">
        <f>IF($B57=PriceList!$C$160,($C57+$D57)*0.002*0.03,($C57+$D57)*0.002*0.018)</f>
        <v>0</v>
      </c>
      <c r="Q57" s="79">
        <f t="shared" si="3"/>
        <v>0</v>
      </c>
      <c r="R57" s="79">
        <f t="shared" si="4"/>
        <v>0</v>
      </c>
      <c r="S57" s="79" t="str">
        <f t="shared" si="5"/>
        <v>30mm  Counter Top</v>
      </c>
      <c r="T57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8" spans="1:20" ht="15" customHeight="1" x14ac:dyDescent="0.5">
      <c r="A58" s="203"/>
      <c r="B58" s="94"/>
      <c r="C58" s="146"/>
      <c r="D58" s="146"/>
      <c r="E58" s="27" t="str">
        <f>IF($B58=0,"",IF($C58=PriceList!$B$19,PriceList!$B$190,IF(OR($B58=PriceList!$B$155,$B58=PriceList!$B$156,$B58=PriceList!$B$163,$B58=PriceList!$B$164),"",PriceList!$B$190)))</f>
        <v/>
      </c>
      <c r="F58" s="27"/>
      <c r="G58" s="168" t="str">
        <f>IF($D58="","",IF($B58=PriceList!$B$163,ROUNDUP((VLOOKUP($T$52,PriceLookup,2,FALSE))*(ROUNDUP($D58*$C58/1000000,2)),0),IF($B58=PriceList!$C$160,ROUNDUP((VLOOKUP($S$52,PriceLookup,2,FALSE))*(ROUNDUP($D58*$C58/1000000,2)),0),ROUNDUP((VLOOKUP($C$12,PriceLookup,2,FALSE))*(ROUNDUP($D58*$C58/1000000,2)),0))))</f>
        <v/>
      </c>
      <c r="H58" s="27" t="str">
        <f>IF($B58=0,"",IF(OR($B58=PriceList!$B$156,$B58=PriceList!$B$157,$B58=PriceList!$B$161),PriceList!$B$128,IF(OR($C$15="",$C$15=PriceList!$B$124),PriceList!$B$129,IF(OR($B58=PriceList!$B$154,$B58=PriceList!$B$155,$B58=PriceList!$B$163,$B58=PriceList!$B$164),$C$15,PriceList!$B$129))))</f>
        <v/>
      </c>
      <c r="I58" s="27" t="str">
        <f>IF($B58="","",IF(OR($H58=PriceList!$B$129,$H58=PriceList!$B$128),PriceList!$B$179,IF(OR($B58=PriceList!$B$154,$E58=PriceList!$B$193,$C58=PriceList!$B$5),PriceList!$B$180,IF(AND(OR($B58=PriceList!$B$163,$B58=PriceList!$B$164,ISNUMBER(SEARCH("180",$C58)),ISNUMBER(SEARCH("140",$C58)),ISNUMBER(SEARCH("200",$C58))),$E58=PriceList!$B$191),PriceList!$B$186,IF(AND(OR($B58=PriceList!$B$163,$B58=PriceList!$B$164,ISNUMBER(SEARCH("180",$C58)),ISNUMBER(SEARCH("140",$C58)),ISNUMBER(SEARCH("200",$C58))),$E58=PriceList!$B$192),PriceList!$B$185,IF(AND($B58=PriceList!$B$155,$E58=PriceList!$B$191),PriceList!$B$182,IF(AND(B58=PriceList!$B$155,E58=PriceList!$B$192),PriceList!$B$181,IF(AND($B58=PriceList!$B$156,$E58=PriceList!$B$191),PriceList!$B$184,IF(AND(B58=PriceList!$B$156,E58=PriceList!$B$192),PriceList!$B$183,IF(AND($B58=PriceList!$B$157,$H58&lt;&gt;PriceList!$B$128),PriceList!$B$180,PriceList!$B$179))))))))))</f>
        <v/>
      </c>
      <c r="J58" s="95" t="str">
        <f>IF($H58="","",VLOOKUP($H58,HandleLookup[],2,FALSE))</f>
        <v/>
      </c>
      <c r="K58" s="95" t="str">
        <f t="shared" si="1"/>
        <v/>
      </c>
      <c r="L58" s="106" t="str">
        <f>IF($B58=PriceList!$B$163,"",IF(AND($B58=PriceList!$B$155,OR($C58="60x40",C58="60x60",C58="60x80")),"NB! Plywood is happier as drawers if possible.", IF(OR($C58="40x140",C58="40x180",C58="40x200",C58="60x140",C58="60x180",C58="60x200"),"NB! We recommend using MDF Doors for sizes over 120cm","")))</f>
        <v/>
      </c>
      <c r="M58" s="72" t="str">
        <f>IF(OR($C$12=PriceList!$B$134,$C$12=PriceList!$B$139,AND($C$12=PriceList!$B$134,$B58=PriceList!$C$164)),ROUNDUP($F58*$Q58*PriceList!$D$146,0),IF(OR($B58="",$C$14=PriceList!$B$175,$B58=PriceList!$C$164),"",IF($C$12=PriceList!$B$136,ROUNDUP($F58*($R58*PriceList!$E$136+$N58),0),ROUNDUP($F58*($R58*PriceList!$E$135+$N58),0))))</f>
        <v/>
      </c>
      <c r="N58">
        <f>IF(OR($C$12=PriceList!$B$167,$C$14=PriceList!$B$175),0,IF($H58=PriceList!$B$125,PriceList!$D$125,IF($H58=PriceList!$B$126,PriceList!$D$126,0)))</f>
        <v>0</v>
      </c>
      <c r="O58" s="79">
        <f t="shared" si="2"/>
        <v>0</v>
      </c>
      <c r="P58" s="79">
        <f>IF($B58=PriceList!$C$160,($C58+$D58)*0.002*0.03,($C58+$D58)*0.002*0.018)</f>
        <v>0</v>
      </c>
      <c r="Q58" s="79">
        <f t="shared" si="3"/>
        <v>0</v>
      </c>
      <c r="R58" s="79">
        <f t="shared" si="4"/>
        <v>0</v>
      </c>
      <c r="S58" s="79" t="str">
        <f t="shared" si="5"/>
        <v>30mm  Counter Top</v>
      </c>
      <c r="T58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59" spans="1:20" ht="15" customHeight="1" x14ac:dyDescent="0.5">
      <c r="A59" s="203"/>
      <c r="B59" s="94"/>
      <c r="C59" s="146"/>
      <c r="D59" s="146"/>
      <c r="E59" s="27" t="str">
        <f>IF($B59=0,"",IF($C59=PriceList!$B$19,PriceList!$B$190,IF(OR($B59=PriceList!$B$155,$B59=PriceList!$B$156,$B59=PriceList!$B$163,$B59=PriceList!$B$164),"",PriceList!$B$190)))</f>
        <v/>
      </c>
      <c r="F59" s="27"/>
      <c r="G59" s="168" t="str">
        <f>IF($D59="","",IF($B59=PriceList!$B$163,ROUNDUP((VLOOKUP($T$52,PriceLookup,2,FALSE))*(ROUNDUP($D59*$C59/1000000,2)),0),IF($B59=PriceList!$C$160,ROUNDUP((VLOOKUP($S$52,PriceLookup,2,FALSE))*(ROUNDUP($D59*$C59/1000000,2)),0),ROUNDUP((VLOOKUP($C$12,PriceLookup,2,FALSE))*(ROUNDUP($D59*$C59/1000000,2)),0))))</f>
        <v/>
      </c>
      <c r="H59" s="27" t="str">
        <f>IF($B59=0,"",IF(OR($B59=PriceList!$B$156,$B59=PriceList!$B$157,$B59=PriceList!$B$161),PriceList!$B$128,IF(OR($C$15="",$C$15=PriceList!$B$124),PriceList!$B$129,IF(OR($B59=PriceList!$B$154,$B59=PriceList!$B$155,$B59=PriceList!$B$163,$B59=PriceList!$B$164),$C$15,PriceList!$B$129))))</f>
        <v/>
      </c>
      <c r="I59" s="27" t="str">
        <f>IF($B59="","",IF(OR($H59=PriceList!$B$129,$H59=PriceList!$B$128),PriceList!$B$179,IF(OR($B59=PriceList!$B$154,$E59=PriceList!$B$193,$C59=PriceList!$B$5),PriceList!$B$180,IF(AND(OR($B59=PriceList!$B$163,$B59=PriceList!$B$164,ISNUMBER(SEARCH("180",$C59)),ISNUMBER(SEARCH("140",$C59)),ISNUMBER(SEARCH("200",$C59))),$E59=PriceList!$B$191),PriceList!$B$186,IF(AND(OR($B59=PriceList!$B$163,$B59=PriceList!$B$164,ISNUMBER(SEARCH("180",$C59)),ISNUMBER(SEARCH("140",$C59)),ISNUMBER(SEARCH("200",$C59))),$E59=PriceList!$B$192),PriceList!$B$185,IF(AND($B59=PriceList!$B$155,$E59=PriceList!$B$191),PriceList!$B$182,IF(AND(B59=PriceList!$B$155,E59=PriceList!$B$192),PriceList!$B$181,IF(AND($B59=PriceList!$B$156,$E59=PriceList!$B$191),PriceList!$B$184,IF(AND(B59=PriceList!$B$156,E59=PriceList!$B$192),PriceList!$B$183,IF(AND($B59=PriceList!$B$157,$H59&lt;&gt;PriceList!$B$128),PriceList!$B$180,PriceList!$B$179))))))))))</f>
        <v/>
      </c>
      <c r="J59" s="95" t="str">
        <f>IF($H59="","",VLOOKUP($H59,HandleLookup[],2,FALSE))</f>
        <v/>
      </c>
      <c r="K59" s="95" t="str">
        <f t="shared" si="1"/>
        <v/>
      </c>
      <c r="L59" s="106" t="str">
        <f>IF($B59=PriceList!$B$163,"",IF(AND($B59=PriceList!$B$155,OR($C59="60x40",C59="60x60",C59="60x80")),"NB! Plywood is happier as drawers if possible.", IF(OR($C59="40x140",C59="40x180",C59="40x200",C59="60x140",C59="60x180",C59="60x200"),"NB! We recommend using MDF Doors for sizes over 120cm","")))</f>
        <v/>
      </c>
      <c r="M59" s="72" t="str">
        <f>IF(OR($C$12=PriceList!$B$134,$C$12=PriceList!$B$139,AND($C$12=PriceList!$B$134,$B59=PriceList!$C$164)),ROUNDUP($F59*$Q59*PriceList!$D$146,0),IF(OR($B59="",$C$14=PriceList!$B$175,$B59=PriceList!$C$164),"",IF($C$12=PriceList!$B$136,ROUNDUP($F59*($R59*PriceList!$E$136+$N59),0),ROUNDUP($F59*($R59*PriceList!$E$135+$N59),0))))</f>
        <v/>
      </c>
      <c r="N59">
        <f>IF(OR($C$12=PriceList!$B$167,$C$14=PriceList!$B$175),0,IF($H59=PriceList!$B$125,PriceList!$D$125,IF($H59=PriceList!$B$126,PriceList!$D$126,0)))</f>
        <v>0</v>
      </c>
      <c r="O59" s="79">
        <f t="shared" si="2"/>
        <v>0</v>
      </c>
      <c r="P59" s="79">
        <f>IF($B59=PriceList!$C$160,($C59+$D59)*0.002*0.03,($C59+$D59)*0.002*0.018)</f>
        <v>0</v>
      </c>
      <c r="Q59" s="79">
        <f t="shared" si="3"/>
        <v>0</v>
      </c>
      <c r="R59" s="79">
        <f t="shared" si="4"/>
        <v>0</v>
      </c>
      <c r="S59" s="79" t="str">
        <f t="shared" si="5"/>
        <v>30mm  Counter Top</v>
      </c>
      <c r="T59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0" spans="1:20" ht="15" customHeight="1" x14ac:dyDescent="0.5">
      <c r="A60" s="203"/>
      <c r="B60" s="94"/>
      <c r="C60" s="146"/>
      <c r="D60" s="146"/>
      <c r="E60" s="27" t="str">
        <f>IF($B60=0,"",IF($C60=PriceList!$B$19,PriceList!$B$190,IF(OR($B60=PriceList!$B$155,$B60=PriceList!$B$156,$B60=PriceList!$B$163,$B60=PriceList!$B$164),"",PriceList!$B$190)))</f>
        <v/>
      </c>
      <c r="F60" s="27"/>
      <c r="G60" s="168" t="str">
        <f>IF($D60="","",IF($B60=PriceList!$B$163,ROUNDUP((VLOOKUP($T$52,PriceLookup,2,FALSE))*(ROUNDUP($D60*$C60/1000000,2)),0),IF($B60=PriceList!$C$160,ROUNDUP((VLOOKUP($S$52,PriceLookup,2,FALSE))*(ROUNDUP($D60*$C60/1000000,2)),0),ROUNDUP((VLOOKUP($C$12,PriceLookup,2,FALSE))*(ROUNDUP($D60*$C60/1000000,2)),0))))</f>
        <v/>
      </c>
      <c r="H60" s="27" t="str">
        <f>IF($B60=0,"",IF(OR($B60=PriceList!$B$156,$B60=PriceList!$B$157,$B60=PriceList!$B$161),PriceList!$B$128,IF(OR($C$15="",$C$15=PriceList!$B$124),PriceList!$B$129,IF(OR($B60=PriceList!$B$154,$B60=PriceList!$B$155,$B60=PriceList!$B$163,$B60=PriceList!$B$164),$C$15,PriceList!$B$129))))</f>
        <v/>
      </c>
      <c r="I60" s="27" t="str">
        <f>IF($B60="","",IF(OR($H60=PriceList!$B$129,$H60=PriceList!$B$128),PriceList!$B$179,IF(OR($B60=PriceList!$B$154,$E60=PriceList!$B$193,$C60=PriceList!$B$5),PriceList!$B$180,IF(AND(OR($B60=PriceList!$B$163,$B60=PriceList!$B$164,ISNUMBER(SEARCH("180",$C60)),ISNUMBER(SEARCH("140",$C60)),ISNUMBER(SEARCH("200",$C60))),$E60=PriceList!$B$191),PriceList!$B$186,IF(AND(OR($B60=PriceList!$B$163,$B60=PriceList!$B$164,ISNUMBER(SEARCH("180",$C60)),ISNUMBER(SEARCH("140",$C60)),ISNUMBER(SEARCH("200",$C60))),$E60=PriceList!$B$192),PriceList!$B$185,IF(AND($B60=PriceList!$B$155,$E60=PriceList!$B$191),PriceList!$B$182,IF(AND(B60=PriceList!$B$155,E60=PriceList!$B$192),PriceList!$B$181,IF(AND($B60=PriceList!$B$156,$E60=PriceList!$B$191),PriceList!$B$184,IF(AND(B60=PriceList!$B$156,E60=PriceList!$B$192),PriceList!$B$183,IF(AND($B60=PriceList!$B$157,$H60&lt;&gt;PriceList!$B$128),PriceList!$B$180,PriceList!$B$179))))))))))</f>
        <v/>
      </c>
      <c r="J60" s="95" t="str">
        <f>IF($H60="","",VLOOKUP($H60,HandleLookup[],2,FALSE))</f>
        <v/>
      </c>
      <c r="K60" s="95" t="str">
        <f t="shared" si="1"/>
        <v/>
      </c>
      <c r="L60" s="106" t="str">
        <f>IF($B60=PriceList!$B$163,"",IF(AND($B60=PriceList!$B$155,OR($C60="60x40",C60="60x60",C60="60x80")),"NB! Plywood is happier as drawers if possible.", IF(OR($C60="40x140",C60="40x180",C60="40x200",C60="60x140",C60="60x180",C60="60x200"),"NB! We recommend using MDF Doors for sizes over 120cm","")))</f>
        <v/>
      </c>
      <c r="M60" s="72" t="str">
        <f>IF(OR($C$12=PriceList!$B$134,$C$12=PriceList!$B$139,AND($C$12=PriceList!$B$134,$B60=PriceList!$C$164)),ROUNDUP($F60*$Q60*PriceList!$D$146,0),IF(OR($B60="",$C$14=PriceList!$B$175,$B60=PriceList!$C$164),"",IF($C$12=PriceList!$B$136,ROUNDUP($F60*($R60*PriceList!$E$136+$N60),0),ROUNDUP($F60*($R60*PriceList!$E$135+$N60),0))))</f>
        <v/>
      </c>
      <c r="N60">
        <f>IF(OR($C$12=PriceList!$B$167,$C$14=PriceList!$B$175),0,IF($H60=PriceList!$B$125,PriceList!$D$125,IF($H60=PriceList!$B$126,PriceList!$D$126,0)))</f>
        <v>0</v>
      </c>
      <c r="O60" s="79">
        <f t="shared" si="2"/>
        <v>0</v>
      </c>
      <c r="P60" s="79">
        <f>IF($B60=PriceList!$C$160,($C60+$D60)*0.002*0.03,($C60+$D60)*0.002*0.018)</f>
        <v>0</v>
      </c>
      <c r="Q60" s="79">
        <f t="shared" si="3"/>
        <v>0</v>
      </c>
      <c r="R60" s="79">
        <f t="shared" si="4"/>
        <v>0</v>
      </c>
      <c r="S60" s="79" t="str">
        <f t="shared" si="5"/>
        <v>30mm  Counter Top</v>
      </c>
      <c r="T60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1" spans="1:20" ht="15" customHeight="1" x14ac:dyDescent="0.5">
      <c r="A61" s="203"/>
      <c r="B61" s="94"/>
      <c r="C61" s="146"/>
      <c r="D61" s="146"/>
      <c r="E61" s="27" t="str">
        <f>IF($B61=0,"",IF($C61=PriceList!$B$19,PriceList!$B$190,IF(OR($B61=PriceList!$B$155,$B61=PriceList!$B$156,$B61=PriceList!$B$163,$B61=PriceList!$B$164),"",PriceList!$B$190)))</f>
        <v/>
      </c>
      <c r="F61" s="27"/>
      <c r="G61" s="168" t="str">
        <f>IF($D61="","",IF($B61=PriceList!$B$163,ROUNDUP((VLOOKUP($T$52,PriceLookup,2,FALSE))*(ROUNDUP($D61*$C61/1000000,2)),0),IF($B61=PriceList!$C$160,ROUNDUP((VLOOKUP($S$52,PriceLookup,2,FALSE))*(ROUNDUP($D61*$C61/1000000,2)),0),ROUNDUP((VLOOKUP($C$12,PriceLookup,2,FALSE))*(ROUNDUP($D61*$C61/1000000,2)),0))))</f>
        <v/>
      </c>
      <c r="H61" s="27" t="str">
        <f>IF($B61=0,"",IF(OR($B61=PriceList!$B$156,$B61=PriceList!$B$157,$B61=PriceList!$B$161),PriceList!$B$128,IF(OR($C$15="",$C$15=PriceList!$B$124),PriceList!$B$129,IF(OR($B61=PriceList!$B$154,$B61=PriceList!$B$155,$B61=PriceList!$B$163,$B61=PriceList!$B$164),$C$15,PriceList!$B$129))))</f>
        <v/>
      </c>
      <c r="I61" s="27" t="str">
        <f>IF($B61="","",IF(OR($H61=PriceList!$B$129,$H61=PriceList!$B$128),PriceList!$B$179,IF(OR($B61=PriceList!$B$154,$E61=PriceList!$B$193,$C61=PriceList!$B$5),PriceList!$B$180,IF(AND(OR($B61=PriceList!$B$163,$B61=PriceList!$B$164,ISNUMBER(SEARCH("180",$C61)),ISNUMBER(SEARCH("140",$C61)),ISNUMBER(SEARCH("200",$C61))),$E61=PriceList!$B$191),PriceList!$B$186,IF(AND(OR($B61=PriceList!$B$163,$B61=PriceList!$B$164,ISNUMBER(SEARCH("180",$C61)),ISNUMBER(SEARCH("140",$C61)),ISNUMBER(SEARCH("200",$C61))),$E61=PriceList!$B$192),PriceList!$B$185,IF(AND($B61=PriceList!$B$155,$E61=PriceList!$B$191),PriceList!$B$182,IF(AND(B61=PriceList!$B$155,E61=PriceList!$B$192),PriceList!$B$181,IF(AND($B61=PriceList!$B$156,$E61=PriceList!$B$191),PriceList!$B$184,IF(AND(B61=PriceList!$B$156,E61=PriceList!$B$192),PriceList!$B$183,IF(AND($B61=PriceList!$B$157,$H61&lt;&gt;PriceList!$B$128),PriceList!$B$180,PriceList!$B$179))))))))))</f>
        <v/>
      </c>
      <c r="J61" s="95" t="str">
        <f>IF($H61="","",VLOOKUP($H61,HandleLookup[],2,FALSE))</f>
        <v/>
      </c>
      <c r="K61" s="95" t="str">
        <f t="shared" si="1"/>
        <v/>
      </c>
      <c r="L61" s="106" t="str">
        <f>IF($B61=PriceList!$B$163,"",IF(AND($B61=PriceList!$B$155,OR($C61="60x40",C61="60x60",C61="60x80")),"NB! Plywood is happier as drawers if possible.", IF(OR($C61="40x140",C61="40x180",C61="40x200",C61="60x140",C61="60x180",C61="60x200"),"NB! We recommend using MDF Doors for sizes over 120cm","")))</f>
        <v/>
      </c>
      <c r="M61" s="72" t="str">
        <f>IF(OR($C$12=PriceList!$B$134,$C$12=PriceList!$B$139,AND($C$12=PriceList!$B$134,$B61=PriceList!$C$164)),ROUNDUP($F61*$Q61*PriceList!$D$146,0),IF(OR($B61="",$C$14=PriceList!$B$175,$B61=PriceList!$C$164),"",IF($C$12=PriceList!$B$136,ROUNDUP($F61*($R61*PriceList!$E$136+$N61),0),ROUNDUP($F61*($R61*PriceList!$E$135+$N61),0))))</f>
        <v/>
      </c>
      <c r="N61">
        <f>IF(OR($C$12=PriceList!$B$167,$C$14=PriceList!$B$175),0,IF($H61=PriceList!$B$125,PriceList!$D$125,IF($H61=PriceList!$B$126,PriceList!$D$126,0)))</f>
        <v>0</v>
      </c>
      <c r="O61" s="79">
        <f t="shared" si="2"/>
        <v>0</v>
      </c>
      <c r="P61" s="79">
        <f>IF($B61=PriceList!$C$160,($C61+$D61)*0.002*0.03,($C61+$D61)*0.002*0.018)</f>
        <v>0</v>
      </c>
      <c r="Q61" s="79">
        <f t="shared" si="3"/>
        <v>0</v>
      </c>
      <c r="R61" s="79">
        <f t="shared" si="4"/>
        <v>0</v>
      </c>
      <c r="S61" s="79" t="str">
        <f t="shared" si="5"/>
        <v>30mm  Counter Top</v>
      </c>
      <c r="T61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2" spans="1:20" ht="15" customHeight="1" x14ac:dyDescent="0.5">
      <c r="A62" s="203"/>
      <c r="B62" s="94"/>
      <c r="C62" s="146"/>
      <c r="D62" s="146"/>
      <c r="E62" s="27" t="str">
        <f>IF($B62=0,"",IF($C62=PriceList!$B$19,PriceList!$B$190,IF(OR($B62=PriceList!$B$155,$B62=PriceList!$B$156,$B62=PriceList!$B$163,$B62=PriceList!$B$164),"",PriceList!$B$190)))</f>
        <v/>
      </c>
      <c r="F62" s="27"/>
      <c r="G62" s="168" t="str">
        <f>IF($D62="","",IF($B62=PriceList!$B$163,ROUNDUP((VLOOKUP($T$52,PriceLookup,2,FALSE))*(ROUNDUP($D62*$C62/1000000,2)),0),IF($B62=PriceList!$C$160,ROUNDUP((VLOOKUP($S$52,PriceLookup,2,FALSE))*(ROUNDUP($D62*$C62/1000000,2)),0),ROUNDUP((VLOOKUP($C$12,PriceLookup,2,FALSE))*(ROUNDUP($D62*$C62/1000000,2)),0))))</f>
        <v/>
      </c>
      <c r="H62" s="27" t="str">
        <f>IF($B62=0,"",IF(OR($B62=PriceList!$B$156,$B62=PriceList!$B$157,$B62=PriceList!$B$161),PriceList!$B$128,IF(OR($C$15="",$C$15=PriceList!$B$124),PriceList!$B$129,IF(OR($B62=PriceList!$B$154,$B62=PriceList!$B$155,$B62=PriceList!$B$163,$B62=PriceList!$B$164),$C$15,PriceList!$B$129))))</f>
        <v/>
      </c>
      <c r="I62" s="27" t="str">
        <f>IF($B62="","",IF(OR($H62=PriceList!$B$129,$H62=PriceList!$B$128),PriceList!$B$179,IF(OR($B62=PriceList!$B$154,$E62=PriceList!$B$193,$C62=PriceList!$B$5),PriceList!$B$180,IF(AND(OR($B62=PriceList!$B$163,$B62=PriceList!$B$164,ISNUMBER(SEARCH("180",$C62)),ISNUMBER(SEARCH("140",$C62)),ISNUMBER(SEARCH("200",$C62))),$E62=PriceList!$B$191),PriceList!$B$186,IF(AND(OR($B62=PriceList!$B$163,$B62=PriceList!$B$164,ISNUMBER(SEARCH("180",$C62)),ISNUMBER(SEARCH("140",$C62)),ISNUMBER(SEARCH("200",$C62))),$E62=PriceList!$B$192),PriceList!$B$185,IF(AND($B62=PriceList!$B$155,$E62=PriceList!$B$191),PriceList!$B$182,IF(AND(B62=PriceList!$B$155,E62=PriceList!$B$192),PriceList!$B$181,IF(AND($B62=PriceList!$B$156,$E62=PriceList!$B$191),PriceList!$B$184,IF(AND(B62=PriceList!$B$156,E62=PriceList!$B$192),PriceList!$B$183,IF(AND($B62=PriceList!$B$157,$H62&lt;&gt;PriceList!$B$128),PriceList!$B$180,PriceList!$B$179))))))))))</f>
        <v/>
      </c>
      <c r="J62" s="95" t="str">
        <f>IF($H62="","",VLOOKUP($H62,HandleLookup[],2,FALSE))</f>
        <v/>
      </c>
      <c r="K62" s="95" t="str">
        <f t="shared" si="1"/>
        <v/>
      </c>
      <c r="L62" s="106" t="str">
        <f>IF($B62=PriceList!$B$163,"",IF(AND($B62=PriceList!$B$155,OR($C62="60x40",C62="60x60",C62="60x80")),"NB! Plywood is happier as drawers if possible.", IF(OR($C62="40x140",C62="40x180",C62="40x200",C62="60x140",C62="60x180",C62="60x200"),"NB! We recommend using MDF Doors for sizes over 120cm","")))</f>
        <v/>
      </c>
      <c r="M62" s="72" t="str">
        <f>IF(OR($C$12=PriceList!$B$134,$C$12=PriceList!$B$139,AND($C$12=PriceList!$B$134,$B62=PriceList!$C$164)),ROUNDUP($F62*$Q62*PriceList!$D$146,0),IF(OR($B62="",$C$14=PriceList!$B$175,$B62=PriceList!$C$164),"",IF($C$12=PriceList!$B$136,ROUNDUP($F62*($R62*PriceList!$E$136+$N62),0),ROUNDUP($F62*($R62*PriceList!$E$135+$N62),0))))</f>
        <v/>
      </c>
      <c r="N62">
        <f>IF(OR($C$12=PriceList!$B$167,$C$14=PriceList!$B$175),0,IF($H62=PriceList!$B$125,PriceList!$D$125,IF($H62=PriceList!$B$126,PriceList!$D$126,0)))</f>
        <v>0</v>
      </c>
      <c r="O62" s="79">
        <f t="shared" si="2"/>
        <v>0</v>
      </c>
      <c r="P62" s="79">
        <f>IF($B62=PriceList!$C$160,($C62+$D62)*0.002*0.03,($C62+$D62)*0.002*0.018)</f>
        <v>0</v>
      </c>
      <c r="Q62" s="79">
        <f t="shared" si="3"/>
        <v>0</v>
      </c>
      <c r="R62" s="79">
        <f t="shared" si="4"/>
        <v>0</v>
      </c>
      <c r="S62" s="79" t="str">
        <f t="shared" si="5"/>
        <v>30mm  Counter Top</v>
      </c>
      <c r="T62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3" spans="1:20" ht="15" customHeight="1" x14ac:dyDescent="0.5">
      <c r="A63" s="203"/>
      <c r="B63" s="94"/>
      <c r="C63" s="146"/>
      <c r="D63" s="146"/>
      <c r="E63" s="27" t="str">
        <f>IF($B63=0,"",IF($C63=PriceList!$B$19,PriceList!$B$190,IF(OR($B63=PriceList!$B$155,$B63=PriceList!$B$156,$B63=PriceList!$B$163,$B63=PriceList!$B$164),"",PriceList!$B$190)))</f>
        <v/>
      </c>
      <c r="F63" s="27"/>
      <c r="G63" s="168" t="str">
        <f>IF($D63="","",IF($B63=PriceList!$B$163,ROUNDUP((VLOOKUP($T$52,PriceLookup,2,FALSE))*(ROUNDUP($D63*$C63/1000000,2)),0),IF($B63=PriceList!$C$160,ROUNDUP((VLOOKUP($S$52,PriceLookup,2,FALSE))*(ROUNDUP($D63*$C63/1000000,2)),0),ROUNDUP((VLOOKUP($C$12,PriceLookup,2,FALSE))*(ROUNDUP($D63*$C63/1000000,2)),0))))</f>
        <v/>
      </c>
      <c r="H63" s="27" t="str">
        <f>IF($B63=0,"",IF(OR($B63=PriceList!$B$156,$B63=PriceList!$B$157,$B63=PriceList!$B$161),PriceList!$B$128,IF(OR($C$15="",$C$15=PriceList!$B$124),PriceList!$B$129,IF(OR($B63=PriceList!$B$154,$B63=PriceList!$B$155,$B63=PriceList!$B$163,$B63=PriceList!$B$164),$C$15,PriceList!$B$129))))</f>
        <v/>
      </c>
      <c r="I63" s="27" t="str">
        <f>IF($B63="","",IF(OR($H63=PriceList!$B$129,$H63=PriceList!$B$128),PriceList!$B$179,IF(OR($B63=PriceList!$B$154,$E63=PriceList!$B$193,$C63=PriceList!$B$5),PriceList!$B$180,IF(AND(OR($B63=PriceList!$B$163,$B63=PriceList!$B$164,ISNUMBER(SEARCH("180",$C63)),ISNUMBER(SEARCH("140",$C63)),ISNUMBER(SEARCH("200",$C63))),$E63=PriceList!$B$191),PriceList!$B$186,IF(AND(OR($B63=PriceList!$B$163,$B63=PriceList!$B$164,ISNUMBER(SEARCH("180",$C63)),ISNUMBER(SEARCH("140",$C63)),ISNUMBER(SEARCH("200",$C63))),$E63=PriceList!$B$192),PriceList!$B$185,IF(AND($B63=PriceList!$B$155,$E63=PriceList!$B$191),PriceList!$B$182,IF(AND(B63=PriceList!$B$155,E63=PriceList!$B$192),PriceList!$B$181,IF(AND($B63=PriceList!$B$156,$E63=PriceList!$B$191),PriceList!$B$184,IF(AND(B63=PriceList!$B$156,E63=PriceList!$B$192),PriceList!$B$183,IF(AND($B63=PriceList!$B$157,$H63&lt;&gt;PriceList!$B$128),PriceList!$B$180,PriceList!$B$179))))))))))</f>
        <v/>
      </c>
      <c r="J63" s="95" t="str">
        <f>IF($H63="","",VLOOKUP($H63,HandleLookup[],2,FALSE))</f>
        <v/>
      </c>
      <c r="K63" s="95" t="str">
        <f t="shared" si="1"/>
        <v/>
      </c>
      <c r="L63" s="106" t="str">
        <f>IF($B63=PriceList!$B$163,"",IF(AND($B63=PriceList!$B$155,OR($C63="60x40",C63="60x60",C63="60x80")),"NB! Plywood is happier as drawers if possible.", IF(OR($C63="40x140",C63="40x180",C63="40x200",C63="60x140",C63="60x180",C63="60x200"),"NB! We recommend using MDF Doors for sizes over 120cm","")))</f>
        <v/>
      </c>
      <c r="M63" s="72" t="str">
        <f>IF(OR($C$12=PriceList!$B$134,$C$12=PriceList!$B$139,AND($C$12=PriceList!$B$134,$B63=PriceList!$C$164)),ROUNDUP($F63*$Q63*PriceList!$D$146,0),IF(OR($B63="",$C$14=PriceList!$B$175,$B63=PriceList!$C$164),"",IF($C$12=PriceList!$B$136,ROUNDUP($F63*($R63*PriceList!$E$136+$N63),0),ROUNDUP($F63*($R63*PriceList!$E$135+$N63),0))))</f>
        <v/>
      </c>
      <c r="N63">
        <f>IF(OR($C$12=PriceList!$B$167,$C$14=PriceList!$B$175),0,IF($H63=PriceList!$B$125,PriceList!$D$125,IF($H63=PriceList!$B$126,PriceList!$D$126,0)))</f>
        <v>0</v>
      </c>
      <c r="O63" s="79">
        <f t="shared" si="2"/>
        <v>0</v>
      </c>
      <c r="P63" s="79">
        <f>IF($B63=PriceList!$C$160,($C63+$D63)*0.002*0.03,($C63+$D63)*0.002*0.018)</f>
        <v>0</v>
      </c>
      <c r="Q63" s="79">
        <f t="shared" si="3"/>
        <v>0</v>
      </c>
      <c r="R63" s="79">
        <f t="shared" si="4"/>
        <v>0</v>
      </c>
      <c r="S63" s="79" t="str">
        <f t="shared" si="5"/>
        <v>30mm  Counter Top</v>
      </c>
      <c r="T63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4" spans="1:20" ht="15" customHeight="1" x14ac:dyDescent="0.5">
      <c r="A64" s="203"/>
      <c r="B64" s="94"/>
      <c r="C64" s="146"/>
      <c r="D64" s="146"/>
      <c r="E64" s="27" t="str">
        <f>IF($B64=0,"",IF($C64=PriceList!$B$19,PriceList!$B$190,IF(OR($B64=PriceList!$B$155,$B64=PriceList!$B$156,$B64=PriceList!$B$163,$B64=PriceList!$B$164),"",PriceList!$B$190)))</f>
        <v/>
      </c>
      <c r="F64" s="27"/>
      <c r="G64" s="168" t="str">
        <f>IF($D64="","",IF($B64=PriceList!$B$163,ROUNDUP((VLOOKUP($T$52,PriceLookup,2,FALSE))*(ROUNDUP($D64*$C64/1000000,2)),0),IF($B64=PriceList!$C$160,ROUNDUP((VLOOKUP($S$52,PriceLookup,2,FALSE))*(ROUNDUP($D64*$C64/1000000,2)),0),ROUNDUP((VLOOKUP($C$12,PriceLookup,2,FALSE))*(ROUNDUP($D64*$C64/1000000,2)),0))))</f>
        <v/>
      </c>
      <c r="H64" s="27" t="str">
        <f>IF($B64=0,"",IF(OR($B64=PriceList!$B$156,$B64=PriceList!$B$157,$B64=PriceList!$B$161),PriceList!$B$128,IF(OR($C$15="",$C$15=PriceList!$B$124),PriceList!$B$129,IF(OR($B64=PriceList!$B$154,$B64=PriceList!$B$155,$B64=PriceList!$B$163,$B64=PriceList!$B$164),$C$15,PriceList!$B$129))))</f>
        <v/>
      </c>
      <c r="I64" s="27" t="str">
        <f>IF($B64="","",IF(OR($H64=PriceList!$B$129,$H64=PriceList!$B$128),PriceList!$B$179,IF(OR($B64=PriceList!$B$154,$E64=PriceList!$B$193,$C64=PriceList!$B$5),PriceList!$B$180,IF(AND(OR($B64=PriceList!$B$163,$B64=PriceList!$B$164,ISNUMBER(SEARCH("180",$C64)),ISNUMBER(SEARCH("140",$C64)),ISNUMBER(SEARCH("200",$C64))),$E64=PriceList!$B$191),PriceList!$B$186,IF(AND(OR($B64=PriceList!$B$163,$B64=PriceList!$B$164,ISNUMBER(SEARCH("180",$C64)),ISNUMBER(SEARCH("140",$C64)),ISNUMBER(SEARCH("200",$C64))),$E64=PriceList!$B$192),PriceList!$B$185,IF(AND($B64=PriceList!$B$155,$E64=PriceList!$B$191),PriceList!$B$182,IF(AND(B64=PriceList!$B$155,E64=PriceList!$B$192),PriceList!$B$181,IF(AND($B64=PriceList!$B$156,$E64=PriceList!$B$191),PriceList!$B$184,IF(AND(B64=PriceList!$B$156,E64=PriceList!$B$192),PriceList!$B$183,IF(AND($B64=PriceList!$B$157,$H64&lt;&gt;PriceList!$B$128),PriceList!$B$180,PriceList!$B$179))))))))))</f>
        <v/>
      </c>
      <c r="J64" s="95" t="str">
        <f>IF($H64="","",VLOOKUP($H64,HandleLookup[],2,FALSE))</f>
        <v/>
      </c>
      <c r="K64" s="95" t="str">
        <f t="shared" si="1"/>
        <v/>
      </c>
      <c r="L64" s="106" t="str">
        <f>IF($B64=PriceList!$B$163,"",IF(AND($B64=PriceList!$B$155,OR($C64="60x40",C64="60x60",C64="60x80")),"NB! Plywood is happier as drawers if possible.", IF(OR($C64="40x140",C64="40x180",C64="40x200",C64="60x140",C64="60x180",C64="60x200"),"NB! We recommend using MDF Doors for sizes over 120cm","")))</f>
        <v/>
      </c>
      <c r="M64" s="72" t="str">
        <f>IF(OR($C$12=PriceList!$B$134,$C$12=PriceList!$B$139,AND($C$12=PriceList!$B$134,$B64=PriceList!$C$164)),ROUNDUP($F64*$Q64*PriceList!$D$146,0),IF(OR($B64="",$C$14=PriceList!$B$175,$B64=PriceList!$C$164),"",IF($C$12=PriceList!$B$136,ROUNDUP($F64*($R64*PriceList!$E$136+$N64),0),ROUNDUP($F64*($R64*PriceList!$E$135+$N64),0))))</f>
        <v/>
      </c>
      <c r="N64">
        <f>IF(OR($C$12=PriceList!$B$167,$C$14=PriceList!$B$175),0,IF($H64=PriceList!$B$125,PriceList!$D$125,IF($H64=PriceList!$B$126,PriceList!$D$126,0)))</f>
        <v>0</v>
      </c>
      <c r="O64" s="79">
        <f t="shared" si="2"/>
        <v>0</v>
      </c>
      <c r="P64" s="79">
        <f>IF($B64=PriceList!$C$160,($C64+$D64)*0.002*0.03,($C64+$D64)*0.002*0.018)</f>
        <v>0</v>
      </c>
      <c r="Q64" s="79">
        <f t="shared" si="3"/>
        <v>0</v>
      </c>
      <c r="R64" s="79">
        <f t="shared" si="4"/>
        <v>0</v>
      </c>
      <c r="S64" s="79" t="str">
        <f t="shared" si="5"/>
        <v>30mm  Counter Top</v>
      </c>
      <c r="T64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5" spans="1:20" ht="15" customHeight="1" x14ac:dyDescent="0.5">
      <c r="A65" s="203"/>
      <c r="B65" s="94"/>
      <c r="C65" s="146"/>
      <c r="D65" s="146"/>
      <c r="E65" s="27" t="str">
        <f>IF($B65=0,"",IF($C65=PriceList!$B$19,PriceList!$B$190,IF(OR($B65=PriceList!$B$155,$B65=PriceList!$B$156,$B65=PriceList!$B$163,$B65=PriceList!$B$164),"",PriceList!$B$190)))</f>
        <v/>
      </c>
      <c r="F65" s="27"/>
      <c r="G65" s="168" t="str">
        <f>IF($D65="","",IF($B65=PriceList!$B$163,ROUNDUP((VLOOKUP($T$52,PriceLookup,2,FALSE))*(ROUNDUP($D65*$C65/1000000,2)),0),IF($B65=PriceList!$C$160,ROUNDUP((VLOOKUP($S$52,PriceLookup,2,FALSE))*(ROUNDUP($D65*$C65/1000000,2)),0),ROUNDUP((VLOOKUP($C$12,PriceLookup,2,FALSE))*(ROUNDUP($D65*$C65/1000000,2)),0))))</f>
        <v/>
      </c>
      <c r="H65" s="27" t="str">
        <f>IF($B65=0,"",IF(OR($B65=PriceList!$B$156,$B65=PriceList!$B$157,$B65=PriceList!$B$161),PriceList!$B$128,IF(OR($C$15="",$C$15=PriceList!$B$124),PriceList!$B$129,IF(OR($B65=PriceList!$B$154,$B65=PriceList!$B$155,$B65=PriceList!$B$163,$B65=PriceList!$B$164),$C$15,PriceList!$B$129))))</f>
        <v/>
      </c>
      <c r="I65" s="27" t="str">
        <f>IF($B65="","",IF(OR($H65=PriceList!$B$129,$H65=PriceList!$B$128),PriceList!$B$179,IF(OR($B65=PriceList!$B$154,$E65=PriceList!$B$193,$C65=PriceList!$B$5),PriceList!$B$180,IF(AND(OR($B65=PriceList!$B$163,$B65=PriceList!$B$164,ISNUMBER(SEARCH("180",$C65)),ISNUMBER(SEARCH("140",$C65)),ISNUMBER(SEARCH("200",$C65))),$E65=PriceList!$B$191),PriceList!$B$186,IF(AND(OR($B65=PriceList!$B$163,$B65=PriceList!$B$164,ISNUMBER(SEARCH("180",$C65)),ISNUMBER(SEARCH("140",$C65)),ISNUMBER(SEARCH("200",$C65))),$E65=PriceList!$B$192),PriceList!$B$185,IF(AND($B65=PriceList!$B$155,$E65=PriceList!$B$191),PriceList!$B$182,IF(AND(B65=PriceList!$B$155,E65=PriceList!$B$192),PriceList!$B$181,IF(AND($B65=PriceList!$B$156,$E65=PriceList!$B$191),PriceList!$B$184,IF(AND(B65=PriceList!$B$156,E65=PriceList!$B$192),PriceList!$B$183,IF(AND($B65=PriceList!$B$157,$H65&lt;&gt;PriceList!$B$128),PriceList!$B$180,PriceList!$B$179))))))))))</f>
        <v/>
      </c>
      <c r="J65" s="95" t="str">
        <f>IF($H65="","",VLOOKUP($H65,HandleLookup[],2,FALSE))</f>
        <v/>
      </c>
      <c r="K65" s="95" t="str">
        <f t="shared" si="1"/>
        <v/>
      </c>
      <c r="L65" s="106" t="str">
        <f>IF($B65=PriceList!$B$163,"",IF(AND($B65=PriceList!$B$155,OR($C65="60x40",C65="60x60",C65="60x80")),"NB! Plywood is happier as drawers if possible.", IF(OR($C65="40x140",C65="40x180",C65="40x200",C65="60x140",C65="60x180",C65="60x200"),"NB! We recommend using MDF Doors for sizes over 120cm","")))</f>
        <v/>
      </c>
      <c r="M65" s="72" t="str">
        <f>IF(OR($C$12=PriceList!$B$134,$C$12=PriceList!$B$139,AND($C$12=PriceList!$B$134,$B65=PriceList!$C$164)),ROUNDUP($F65*$Q65*PriceList!$D$146,0),IF(OR($B65="",$C$14=PriceList!$B$175,$B65=PriceList!$C$164),"",IF($C$12=PriceList!$B$136,ROUNDUP($F65*($R65*PriceList!$E$136+$N65),0),ROUNDUP($F65*($R65*PriceList!$E$135+$N65),0))))</f>
        <v/>
      </c>
      <c r="N65">
        <f>IF(OR($C$12=PriceList!$B$167,$C$14=PriceList!$B$175),0,IF($H65=PriceList!$B$125,PriceList!$D$125,IF($H65=PriceList!$B$126,PriceList!$D$126,0)))</f>
        <v>0</v>
      </c>
      <c r="O65" s="79">
        <f t="shared" si="2"/>
        <v>0</v>
      </c>
      <c r="P65" s="79">
        <f>IF($B65=PriceList!$C$160,($C65+$D65)*0.002*0.03,($C65+$D65)*0.002*0.018)</f>
        <v>0</v>
      </c>
      <c r="Q65" s="79">
        <f t="shared" si="3"/>
        <v>0</v>
      </c>
      <c r="R65" s="79">
        <f t="shared" si="4"/>
        <v>0</v>
      </c>
      <c r="S65" s="79" t="str">
        <f t="shared" si="5"/>
        <v>30mm  Counter Top</v>
      </c>
      <c r="T65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6" spans="1:20" ht="15" customHeight="1" x14ac:dyDescent="0.5">
      <c r="A66" s="203"/>
      <c r="B66" s="94"/>
      <c r="C66" s="146"/>
      <c r="D66" s="146"/>
      <c r="E66" s="27" t="str">
        <f>IF($B66=0,"",IF($C66=PriceList!$B$19,PriceList!$B$190,IF(OR($B66=PriceList!$B$155,$B66=PriceList!$B$156,$B66=PriceList!$B$163,$B66=PriceList!$B$164),"",PriceList!$B$190)))</f>
        <v/>
      </c>
      <c r="F66" s="27"/>
      <c r="G66" s="168" t="str">
        <f>IF($D66="","",IF($B66=PriceList!$B$163,ROUNDUP((VLOOKUP($T$52,PriceLookup,2,FALSE))*(ROUNDUP($D66*$C66/1000000,2)),0),IF($B66=PriceList!$C$160,ROUNDUP((VLOOKUP($S$52,PriceLookup,2,FALSE))*(ROUNDUP($D66*$C66/1000000,2)),0),ROUNDUP((VLOOKUP($C$12,PriceLookup,2,FALSE))*(ROUNDUP($D66*$C66/1000000,2)),0))))</f>
        <v/>
      </c>
      <c r="H66" s="27" t="str">
        <f>IF($B66=0,"",IF(OR($B66=PriceList!$B$156,$B66=PriceList!$B$157,$B66=PriceList!$B$161),PriceList!$B$128,IF(OR($C$15="",$C$15=PriceList!$B$124),PriceList!$B$129,IF(OR($B66=PriceList!$B$154,$B66=PriceList!$B$155,$B66=PriceList!$B$163,$B66=PriceList!$B$164),$C$15,PriceList!$B$129))))</f>
        <v/>
      </c>
      <c r="I66" s="27" t="str">
        <f>IF($B66="","",IF(OR($H66=PriceList!$B$129,$H66=PriceList!$B$128),PriceList!$B$179,IF(OR($B66=PriceList!$B$154,$E66=PriceList!$B$193,$C66=PriceList!$B$5),PriceList!$B$180,IF(AND(OR($B66=PriceList!$B$163,$B66=PriceList!$B$164,ISNUMBER(SEARCH("180",$C66)),ISNUMBER(SEARCH("140",$C66)),ISNUMBER(SEARCH("200",$C66))),$E66=PriceList!$B$191),PriceList!$B$186,IF(AND(OR($B66=PriceList!$B$163,$B66=PriceList!$B$164,ISNUMBER(SEARCH("180",$C66)),ISNUMBER(SEARCH("140",$C66)),ISNUMBER(SEARCH("200",$C66))),$E66=PriceList!$B$192),PriceList!$B$185,IF(AND($B66=PriceList!$B$155,$E66=PriceList!$B$191),PriceList!$B$182,IF(AND(B66=PriceList!$B$155,E66=PriceList!$B$192),PriceList!$B$181,IF(AND($B66=PriceList!$B$156,$E66=PriceList!$B$191),PriceList!$B$184,IF(AND(B66=PriceList!$B$156,E66=PriceList!$B$192),PriceList!$B$183,IF(AND($B66=PriceList!$B$157,$H66&lt;&gt;PriceList!$B$128),PriceList!$B$180,PriceList!$B$179))))))))))</f>
        <v/>
      </c>
      <c r="J66" s="95" t="str">
        <f>IF($H66="","",VLOOKUP($H66,HandleLookup[],2,FALSE))</f>
        <v/>
      </c>
      <c r="K66" s="95" t="str">
        <f t="shared" si="1"/>
        <v/>
      </c>
      <c r="L66" s="106" t="str">
        <f>IF($B66=PriceList!$B$163,"",IF(AND($B66=PriceList!$B$155,OR($C66="60x40",C66="60x60",C66="60x80")),"NB! Plywood is happier as drawers if possible.", IF(OR($C66="40x140",C66="40x180",C66="40x200",C66="60x140",C66="60x180",C66="60x200"),"NB! We recommend using MDF Doors for sizes over 120cm","")))</f>
        <v/>
      </c>
      <c r="M66" s="72" t="str">
        <f>IF(OR($C$12=PriceList!$B$134,$C$12=PriceList!$B$139,AND($C$12=PriceList!$B$134,$B66=PriceList!$C$164)),ROUNDUP($F66*$Q66*PriceList!$D$146,0),IF(OR($B66="",$C$14=PriceList!$B$175,$B66=PriceList!$C$164),"",IF($C$12=PriceList!$B$136,ROUNDUP($F66*($R66*PriceList!$E$136+$N66),0),ROUNDUP($F66*($R66*PriceList!$E$135+$N66),0))))</f>
        <v/>
      </c>
      <c r="N66">
        <f>IF(OR($C$12=PriceList!$B$167,$C$14=PriceList!$B$175),0,IF($H66=PriceList!$B$125,PriceList!$D$125,IF($H66=PriceList!$B$126,PriceList!$D$126,0)))</f>
        <v>0</v>
      </c>
      <c r="O66" s="79">
        <f t="shared" si="2"/>
        <v>0</v>
      </c>
      <c r="P66" s="79">
        <f>IF($B66=PriceList!$C$160,($C66+$D66)*0.002*0.03,($C66+$D66)*0.002*0.018)</f>
        <v>0</v>
      </c>
      <c r="Q66" s="79">
        <f t="shared" si="3"/>
        <v>0</v>
      </c>
      <c r="R66" s="79">
        <f t="shared" si="4"/>
        <v>0</v>
      </c>
      <c r="S66" s="79" t="str">
        <f t="shared" si="5"/>
        <v>30mm  Counter Top</v>
      </c>
      <c r="T66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7" spans="1:20" ht="15" customHeight="1" x14ac:dyDescent="0.5">
      <c r="A67" s="203"/>
      <c r="B67" s="94"/>
      <c r="C67" s="146"/>
      <c r="D67" s="146"/>
      <c r="E67" s="27" t="str">
        <f>IF($B67=0,"",IF($C67=PriceList!$B$19,PriceList!$B$190,IF(OR($B67=PriceList!$B$155,$B67=PriceList!$B$156,$B67=PriceList!$B$163,$B67=PriceList!$B$164),"",PriceList!$B$190)))</f>
        <v/>
      </c>
      <c r="F67" s="27"/>
      <c r="G67" s="168" t="str">
        <f>IF($D67="","",IF($B67=PriceList!$B$163,ROUNDUP((VLOOKUP($T$52,PriceLookup,2,FALSE))*(ROUNDUP($D67*$C67/1000000,2)),0),IF($B67=PriceList!$C$160,ROUNDUP((VLOOKUP($S$52,PriceLookup,2,FALSE))*(ROUNDUP($D67*$C67/1000000,2)),0),ROUNDUP((VLOOKUP($C$12,PriceLookup,2,FALSE))*(ROUNDUP($D67*$C67/1000000,2)),0))))</f>
        <v/>
      </c>
      <c r="H67" s="27" t="str">
        <f>IF($B67=0,"",IF(OR($B67=PriceList!$B$156,$B67=PriceList!$B$157,$B67=PriceList!$B$161),PriceList!$B$128,IF(OR($C$15="",$C$15=PriceList!$B$124),PriceList!$B$129,IF(OR($B67=PriceList!$B$154,$B67=PriceList!$B$155,$B67=PriceList!$B$163,$B67=PriceList!$B$164),$C$15,PriceList!$B$129))))</f>
        <v/>
      </c>
      <c r="I67" s="27" t="str">
        <f>IF($B67="","",IF(OR($H67=PriceList!$B$129,$H67=PriceList!$B$128),PriceList!$B$179,IF(OR($B67=PriceList!$B$154,$E67=PriceList!$B$193,$C67=PriceList!$B$5),PriceList!$B$180,IF(AND(OR($B67=PriceList!$B$163,$B67=PriceList!$B$164,ISNUMBER(SEARCH("180",$C67)),ISNUMBER(SEARCH("140",$C67)),ISNUMBER(SEARCH("200",$C67))),$E67=PriceList!$B$191),PriceList!$B$186,IF(AND(OR($B67=PriceList!$B$163,$B67=PriceList!$B$164,ISNUMBER(SEARCH("180",$C67)),ISNUMBER(SEARCH("140",$C67)),ISNUMBER(SEARCH("200",$C67))),$E67=PriceList!$B$192),PriceList!$B$185,IF(AND($B67=PriceList!$B$155,$E67=PriceList!$B$191),PriceList!$B$182,IF(AND(B67=PriceList!$B$155,E67=PriceList!$B$192),PriceList!$B$181,IF(AND($B67=PriceList!$B$156,$E67=PriceList!$B$191),PriceList!$B$184,IF(AND(B67=PriceList!$B$156,E67=PriceList!$B$192),PriceList!$B$183,IF(AND($B67=PriceList!$B$157,$H67&lt;&gt;PriceList!$B$128),PriceList!$B$180,PriceList!$B$179))))))))))</f>
        <v/>
      </c>
      <c r="J67" s="95" t="str">
        <f>IF($H67="","",VLOOKUP($H67,HandleLookup[],2,FALSE))</f>
        <v/>
      </c>
      <c r="K67" s="95" t="str">
        <f t="shared" si="1"/>
        <v/>
      </c>
      <c r="L67" s="106" t="str">
        <f>IF($B67=PriceList!$B$163,"",IF(AND($B67=PriceList!$B$155,OR($C67="60x40",C67="60x60",C67="60x80")),"NB! Plywood is happier as drawers if possible.", IF(OR($C67="40x140",C67="40x180",C67="40x200",C67="60x140",C67="60x180",C67="60x200"),"NB! We recommend using MDF Doors for sizes over 120cm","")))</f>
        <v/>
      </c>
      <c r="M67" s="72" t="str">
        <f>IF(OR($C$12=PriceList!$B$134,$C$12=PriceList!$B$139,AND($C$12=PriceList!$B$134,$B67=PriceList!$C$164)),ROUNDUP($F67*$Q67*PriceList!$D$146,0),IF(OR($B67="",$C$14=PriceList!$B$175,$B67=PriceList!$C$164),"",IF($C$12=PriceList!$B$136,ROUNDUP($F67*($R67*PriceList!$E$136+$N67),0),ROUNDUP($F67*($R67*PriceList!$E$135+$N67),0))))</f>
        <v/>
      </c>
      <c r="N67">
        <f>IF(OR($C$12=PriceList!$B$167,$C$14=PriceList!$B$175),0,IF($H67=PriceList!$B$125,PriceList!$D$125,IF($H67=PriceList!$B$126,PriceList!$D$126,0)))</f>
        <v>0</v>
      </c>
      <c r="O67" s="79">
        <f t="shared" si="2"/>
        <v>0</v>
      </c>
      <c r="P67" s="79">
        <f>IF($B67=PriceList!$C$160,($C67+$D67)*0.002*0.03,($C67+$D67)*0.002*0.018)</f>
        <v>0</v>
      </c>
      <c r="Q67" s="79">
        <f t="shared" si="3"/>
        <v>0</v>
      </c>
      <c r="R67" s="79">
        <f t="shared" si="4"/>
        <v>0</v>
      </c>
      <c r="S67" s="79" t="str">
        <f t="shared" si="5"/>
        <v>30mm  Counter Top</v>
      </c>
      <c r="T67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8" spans="1:20" ht="15" customHeight="1" x14ac:dyDescent="0.5">
      <c r="A68" s="203"/>
      <c r="B68" s="94"/>
      <c r="C68" s="146"/>
      <c r="D68" s="146"/>
      <c r="E68" s="27" t="str">
        <f>IF($B68=0,"",IF($C68=PriceList!$B$19,PriceList!$B$190,IF(OR($B68=PriceList!$B$155,$B68=PriceList!$B$156,$B68=PriceList!$B$163,$B68=PriceList!$B$164),"",PriceList!$B$190)))</f>
        <v/>
      </c>
      <c r="F68" s="27"/>
      <c r="G68" s="168" t="str">
        <f>IF($D68="","",IF($B68=PriceList!$B$163,ROUNDUP((VLOOKUP($T$52,PriceLookup,2,FALSE))*(ROUNDUP($D68*$C68/1000000,2)),0),IF($B68=PriceList!$C$160,ROUNDUP((VLOOKUP($S$52,PriceLookup,2,FALSE))*(ROUNDUP($D68*$C68/1000000,2)),0),ROUNDUP((VLOOKUP($C$12,PriceLookup,2,FALSE))*(ROUNDUP($D68*$C68/1000000,2)),0))))</f>
        <v/>
      </c>
      <c r="H68" s="27" t="str">
        <f>IF($B68=0,"",IF(OR($B68=PriceList!$B$156,$B68=PriceList!$B$157,$B68=PriceList!$B$161),PriceList!$B$128,IF(OR($C$15="",$C$15=PriceList!$B$124),PriceList!$B$129,IF(OR($B68=PriceList!$B$154,$B68=PriceList!$B$155,$B68=PriceList!$B$163,$B68=PriceList!$B$164),$C$15,PriceList!$B$129))))</f>
        <v/>
      </c>
      <c r="I68" s="27" t="str">
        <f>IF($B68="","",IF(OR($H68=PriceList!$B$129,$H68=PriceList!$B$128),PriceList!$B$179,IF(OR($B68=PriceList!$B$154,$E68=PriceList!$B$193,$C68=PriceList!$B$5),PriceList!$B$180,IF(AND(OR($B68=PriceList!$B$163,$B68=PriceList!$B$164,ISNUMBER(SEARCH("180",$C68)),ISNUMBER(SEARCH("140",$C68)),ISNUMBER(SEARCH("200",$C68))),$E68=PriceList!$B$191),PriceList!$B$186,IF(AND(OR($B68=PriceList!$B$163,$B68=PriceList!$B$164,ISNUMBER(SEARCH("180",$C68)),ISNUMBER(SEARCH("140",$C68)),ISNUMBER(SEARCH("200",$C68))),$E68=PriceList!$B$192),PriceList!$B$185,IF(AND($B68=PriceList!$B$155,$E68=PriceList!$B$191),PriceList!$B$182,IF(AND(B68=PriceList!$B$155,E68=PriceList!$B$192),PriceList!$B$181,IF(AND($B68=PriceList!$B$156,$E68=PriceList!$B$191),PriceList!$B$184,IF(AND(B68=PriceList!$B$156,E68=PriceList!$B$192),PriceList!$B$183,IF(AND($B68=PriceList!$B$157,$H68&lt;&gt;PriceList!$B$128),PriceList!$B$180,PriceList!$B$179))))))))))</f>
        <v/>
      </c>
      <c r="J68" s="95" t="str">
        <f>IF($H68="","",VLOOKUP($H68,HandleLookup[],2,FALSE))</f>
        <v/>
      </c>
      <c r="K68" s="95" t="str">
        <f t="shared" si="1"/>
        <v/>
      </c>
      <c r="L68" s="106" t="str">
        <f>IF($B68=PriceList!$B$163,"",IF(AND($B68=PriceList!$B$155,OR($C68="60x40",C68="60x60",C68="60x80")),"NB! Plywood is happier as drawers if possible.", IF(OR($C68="40x140",C68="40x180",C68="40x200",C68="60x140",C68="60x180",C68="60x200"),"NB! We recommend using MDF Doors for sizes over 120cm","")))</f>
        <v/>
      </c>
      <c r="M68" s="72" t="str">
        <f>IF(OR($C$12=PriceList!$B$134,$C$12=PriceList!$B$139,AND($C$12=PriceList!$B$134,$B68=PriceList!$C$164)),ROUNDUP($F68*$Q68*PriceList!$D$146,0),IF(OR($B68="",$C$14=PriceList!$B$175,$B68=PriceList!$C$164),"",IF($C$12=PriceList!$B$136,ROUNDUP($F68*($R68*PriceList!$E$136+$N68),0),ROUNDUP($F68*($R68*PriceList!$E$135+$N68),0))))</f>
        <v/>
      </c>
      <c r="N68">
        <f>IF(OR($C$12=PriceList!$B$167,$C$14=PriceList!$B$175),0,IF($H68=PriceList!$B$125,PriceList!$D$125,IF($H68=PriceList!$B$126,PriceList!$D$126,0)))</f>
        <v>0</v>
      </c>
      <c r="O68" s="79">
        <f t="shared" si="2"/>
        <v>0</v>
      </c>
      <c r="P68" s="79">
        <f>IF($B68=PriceList!$C$160,($C68+$D68)*0.002*0.03,($C68+$D68)*0.002*0.018)</f>
        <v>0</v>
      </c>
      <c r="Q68" s="79">
        <f t="shared" si="3"/>
        <v>0</v>
      </c>
      <c r="R68" s="79">
        <f t="shared" si="4"/>
        <v>0</v>
      </c>
      <c r="S68" s="79" t="str">
        <f t="shared" si="5"/>
        <v>30mm  Counter Top</v>
      </c>
      <c r="T68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69" spans="1:20" ht="15" customHeight="1" x14ac:dyDescent="0.5">
      <c r="A69" s="203"/>
      <c r="B69" s="94"/>
      <c r="C69" s="146"/>
      <c r="D69" s="146"/>
      <c r="E69" s="27" t="str">
        <f>IF($B69=0,"",IF($C69=PriceList!$B$19,PriceList!$B$190,IF(OR($B69=PriceList!$B$155,$B69=PriceList!$B$156,$B69=PriceList!$B$163,$B69=PriceList!$B$164),"",PriceList!$B$190)))</f>
        <v/>
      </c>
      <c r="F69" s="27"/>
      <c r="G69" s="168" t="str">
        <f>IF($D69="","",IF($B69=PriceList!$B$163,ROUNDUP((VLOOKUP($T$52,PriceLookup,2,FALSE))*(ROUNDUP($D69*$C69/1000000,2)),0),IF($B69=PriceList!$C$160,ROUNDUP((VLOOKUP($S$52,PriceLookup,2,FALSE))*(ROUNDUP($D69*$C69/1000000,2)),0),ROUNDUP((VLOOKUP($C$12,PriceLookup,2,FALSE))*(ROUNDUP($D69*$C69/1000000,2)),0))))</f>
        <v/>
      </c>
      <c r="H69" s="27" t="str">
        <f>IF($B69=0,"",IF(OR($B69=PriceList!$B$156,$B69=PriceList!$B$157,$B69=PriceList!$B$161),PriceList!$B$128,IF(OR($C$15="",$C$15=PriceList!$B$124),PriceList!$B$129,IF(OR($B69=PriceList!$B$154,$B69=PriceList!$B$155,$B69=PriceList!$B$163,$B69=PriceList!$B$164),$C$15,PriceList!$B$129))))</f>
        <v/>
      </c>
      <c r="I69" s="27" t="str">
        <f>IF($B69="","",IF(OR($H69=PriceList!$B$129,$H69=PriceList!$B$128),PriceList!$B$179,IF(OR($B69=PriceList!$B$154,$E69=PriceList!$B$193,$C69=PriceList!$B$5),PriceList!$B$180,IF(AND(OR($B69=PriceList!$B$163,$B69=PriceList!$B$164,ISNUMBER(SEARCH("180",$C69)),ISNUMBER(SEARCH("140",$C69)),ISNUMBER(SEARCH("200",$C69))),$E69=PriceList!$B$191),PriceList!$B$186,IF(AND(OR($B69=PriceList!$B$163,$B69=PriceList!$B$164,ISNUMBER(SEARCH("180",$C69)),ISNUMBER(SEARCH("140",$C69)),ISNUMBER(SEARCH("200",$C69))),$E69=PriceList!$B$192),PriceList!$B$185,IF(AND($B69=PriceList!$B$155,$E69=PriceList!$B$191),PriceList!$B$182,IF(AND(B69=PriceList!$B$155,E69=PriceList!$B$192),PriceList!$B$181,IF(AND($B69=PriceList!$B$156,$E69=PriceList!$B$191),PriceList!$B$184,IF(AND(B69=PriceList!$B$156,E69=PriceList!$B$192),PriceList!$B$183,IF(AND($B69=PriceList!$B$157,$H69&lt;&gt;PriceList!$B$128),PriceList!$B$180,PriceList!$B$179))))))))))</f>
        <v/>
      </c>
      <c r="J69" s="95" t="str">
        <f>IF($H69="","",VLOOKUP($H69,HandleLookup[],2,FALSE))</f>
        <v/>
      </c>
      <c r="K69" s="95" t="str">
        <f t="shared" si="1"/>
        <v/>
      </c>
      <c r="L69" s="106" t="str">
        <f>IF($B69=PriceList!$B$163,"",IF(AND($B69=PriceList!$B$155,OR($C69="60x40",C69="60x60",C69="60x80")),"NB! Plywood is happier as drawers if possible.", IF(OR($C69="40x140",C69="40x180",C69="40x200",C69="60x140",C69="60x180",C69="60x200"),"NB! We recommend using MDF Doors for sizes over 120cm","")))</f>
        <v/>
      </c>
      <c r="M69" s="72" t="str">
        <f>IF(OR($C$12=PriceList!$B$134,$C$12=PriceList!$B$139,AND($C$12=PriceList!$B$134,$B69=PriceList!$C$164)),ROUNDUP($F69*$Q69*PriceList!$D$146,0),IF(OR($B69="",$C$14=PriceList!$B$175,$B69=PriceList!$C$164),"",IF($C$12=PriceList!$B$136,ROUNDUP($F69*($R69*PriceList!$E$136+$N69),0),ROUNDUP($F69*($R69*PriceList!$E$135+$N69),0))))</f>
        <v/>
      </c>
      <c r="N69">
        <f>IF(OR($C$12=PriceList!$B$167,$C$14=PriceList!$B$175),0,IF($H69=PriceList!$B$125,PriceList!$D$125,IF($H69=PriceList!$B$126,PriceList!$D$126,0)))</f>
        <v>0</v>
      </c>
      <c r="O69" s="79">
        <f t="shared" si="2"/>
        <v>0</v>
      </c>
      <c r="P69" s="79">
        <f>IF($B69=PriceList!$C$160,($C69+$D69)*0.002*0.03,($C69+$D69)*0.002*0.018)</f>
        <v>0</v>
      </c>
      <c r="Q69" s="79">
        <f t="shared" si="3"/>
        <v>0</v>
      </c>
      <c r="R69" s="79">
        <f t="shared" si="4"/>
        <v>0</v>
      </c>
      <c r="S69" s="79" t="str">
        <f t="shared" si="5"/>
        <v>30mm  Counter Top</v>
      </c>
      <c r="T69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0" spans="1:20" ht="15" customHeight="1" x14ac:dyDescent="0.5">
      <c r="A70" s="203"/>
      <c r="B70" s="94"/>
      <c r="C70" s="146"/>
      <c r="D70" s="146"/>
      <c r="E70" s="27" t="str">
        <f>IF($B70=0,"",IF($C70=PriceList!$B$19,PriceList!$B$190,IF(OR($B70=PriceList!$B$155,$B70=PriceList!$B$156,$B70=PriceList!$B$163,$B70=PriceList!$B$164),"",PriceList!$B$190)))</f>
        <v/>
      </c>
      <c r="F70" s="27"/>
      <c r="G70" s="168" t="str">
        <f>IF($D70="","",IF($B70=PriceList!$B$163,ROUNDUP((VLOOKUP($T$52,PriceLookup,2,FALSE))*(ROUNDUP($D70*$C70/1000000,2)),0),IF($B70=PriceList!$C$160,ROUNDUP((VLOOKUP($S$52,PriceLookup,2,FALSE))*(ROUNDUP($D70*$C70/1000000,2)),0),ROUNDUP((VLOOKUP($C$12,PriceLookup,2,FALSE))*(ROUNDUP($D70*$C70/1000000,2)),0))))</f>
        <v/>
      </c>
      <c r="H70" s="27" t="str">
        <f>IF($B70=0,"",IF(OR($B70=PriceList!$B$156,$B70=PriceList!$B$157,$B70=PriceList!$B$161),PriceList!$B$128,IF(OR($C$15="",$C$15=PriceList!$B$124),PriceList!$B$129,IF(OR($B70=PriceList!$B$154,$B70=PriceList!$B$155,$B70=PriceList!$B$163,$B70=PriceList!$B$164),$C$15,PriceList!$B$129))))</f>
        <v/>
      </c>
      <c r="I70" s="27" t="str">
        <f>IF($B70="","",IF(OR($H70=PriceList!$B$129,$H70=PriceList!$B$128),PriceList!$B$179,IF(OR($B70=PriceList!$B$154,$E70=PriceList!$B$193,$C70=PriceList!$B$5),PriceList!$B$180,IF(AND(OR($B70=PriceList!$B$163,$B70=PriceList!$B$164,ISNUMBER(SEARCH("180",$C70)),ISNUMBER(SEARCH("140",$C70)),ISNUMBER(SEARCH("200",$C70))),$E70=PriceList!$B$191),PriceList!$B$186,IF(AND(OR($B70=PriceList!$B$163,$B70=PriceList!$B$164,ISNUMBER(SEARCH("180",$C70)),ISNUMBER(SEARCH("140",$C70)),ISNUMBER(SEARCH("200",$C70))),$E70=PriceList!$B$192),PriceList!$B$185,IF(AND($B70=PriceList!$B$155,$E70=PriceList!$B$191),PriceList!$B$182,IF(AND(B70=PriceList!$B$155,E70=PriceList!$B$192),PriceList!$B$181,IF(AND($B70=PriceList!$B$156,$E70=PriceList!$B$191),PriceList!$B$184,IF(AND(B70=PriceList!$B$156,E70=PriceList!$B$192),PriceList!$B$183,IF(AND($B70=PriceList!$B$157,$H70&lt;&gt;PriceList!$B$128),PriceList!$B$180,PriceList!$B$179))))))))))</f>
        <v/>
      </c>
      <c r="J70" s="95" t="str">
        <f>IF($H70="","",VLOOKUP($H70,HandleLookup[],2,FALSE))</f>
        <v/>
      </c>
      <c r="K70" s="95" t="str">
        <f t="shared" si="1"/>
        <v/>
      </c>
      <c r="L70" s="106" t="str">
        <f>IF($B70=PriceList!$B$163,"",IF(AND($B70=PriceList!$B$155,OR($C70="60x40",C70="60x60",C70="60x80")),"NB! Plywood is happier as drawers if possible.", IF(OR($C70="40x140",C70="40x180",C70="40x200",C70="60x140",C70="60x180",C70="60x200"),"NB! We recommend using MDF Doors for sizes over 120cm","")))</f>
        <v/>
      </c>
      <c r="M70" s="72" t="str">
        <f>IF(OR($C$12=PriceList!$B$134,$C$12=PriceList!$B$139,AND($C$12=PriceList!$B$134,$B70=PriceList!$C$164)),ROUNDUP($F70*$Q70*PriceList!$D$146,0),IF(OR($B70="",$C$14=PriceList!$B$175,$B70=PriceList!$C$164),"",IF($C$12=PriceList!$B$136,ROUNDUP($F70*($R70*PriceList!$E$136+$N70),0),ROUNDUP($F70*($R70*PriceList!$E$135+$N70),0))))</f>
        <v/>
      </c>
      <c r="N70">
        <f>IF(OR($C$12=PriceList!$B$167,$C$14=PriceList!$B$175),0,IF($H70=PriceList!$B$125,PriceList!$D$125,IF($H70=PriceList!$B$126,PriceList!$D$126,0)))</f>
        <v>0</v>
      </c>
      <c r="O70" s="79">
        <f t="shared" si="2"/>
        <v>0</v>
      </c>
      <c r="P70" s="79">
        <f>IF($B70=PriceList!$C$160,($C70+$D70)*0.002*0.03,($C70+$D70)*0.002*0.018)</f>
        <v>0</v>
      </c>
      <c r="Q70" s="79">
        <f t="shared" si="3"/>
        <v>0</v>
      </c>
      <c r="R70" s="79">
        <f t="shared" si="4"/>
        <v>0</v>
      </c>
      <c r="S70" s="79" t="str">
        <f t="shared" si="5"/>
        <v>30mm  Counter Top</v>
      </c>
      <c r="T70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1" spans="1:20" ht="15" customHeight="1" x14ac:dyDescent="0.5">
      <c r="A71" s="203"/>
      <c r="B71" s="94"/>
      <c r="C71" s="146"/>
      <c r="D71" s="146"/>
      <c r="E71" s="27" t="str">
        <f>IF($B71=0,"",IF($C71=PriceList!$B$19,PriceList!$B$190,IF(OR($B71=PriceList!$B$155,$B71=PriceList!$B$156,$B71=PriceList!$B$163,$B71=PriceList!$B$164),"",PriceList!$B$190)))</f>
        <v/>
      </c>
      <c r="F71" s="27"/>
      <c r="G71" s="168" t="str">
        <f>IF($D71="","",IF($B71=PriceList!$B$163,ROUNDUP((VLOOKUP($T$52,PriceLookup,2,FALSE))*(ROUNDUP($D71*$C71/1000000,2)),0),IF($B71=PriceList!$C$160,ROUNDUP((VLOOKUP($S$52,PriceLookup,2,FALSE))*(ROUNDUP($D71*$C71/1000000,2)),0),ROUNDUP((VLOOKUP($C$12,PriceLookup,2,FALSE))*(ROUNDUP($D71*$C71/1000000,2)),0))))</f>
        <v/>
      </c>
      <c r="H71" s="27" t="str">
        <f>IF($B71=0,"",IF(OR($B71=PriceList!$B$156,$B71=PriceList!$B$157,$B71=PriceList!$B$161),PriceList!$B$128,IF(OR($C$15="",$C$15=PriceList!$B$124),PriceList!$B$129,IF(OR($B71=PriceList!$B$154,$B71=PriceList!$B$155,$B71=PriceList!$B$163,$B71=PriceList!$B$164),$C$15,PriceList!$B$129))))</f>
        <v/>
      </c>
      <c r="I71" s="27" t="str">
        <f>IF($B71="","",IF(OR($H71=PriceList!$B$129,$H71=PriceList!$B$128),PriceList!$B$179,IF(OR($B71=PriceList!$B$154,$E71=PriceList!$B$193,$C71=PriceList!$B$5),PriceList!$B$180,IF(AND(OR($B71=PriceList!$B$163,$B71=PriceList!$B$164,ISNUMBER(SEARCH("180",$C71)),ISNUMBER(SEARCH("140",$C71)),ISNUMBER(SEARCH("200",$C71))),$E71=PriceList!$B$191),PriceList!$B$186,IF(AND(OR($B71=PriceList!$B$163,$B71=PriceList!$B$164,ISNUMBER(SEARCH("180",$C71)),ISNUMBER(SEARCH("140",$C71)),ISNUMBER(SEARCH("200",$C71))),$E71=PriceList!$B$192),PriceList!$B$185,IF(AND($B71=PriceList!$B$155,$E71=PriceList!$B$191),PriceList!$B$182,IF(AND(B71=PriceList!$B$155,E71=PriceList!$B$192),PriceList!$B$181,IF(AND($B71=PriceList!$B$156,$E71=PriceList!$B$191),PriceList!$B$184,IF(AND(B71=PriceList!$B$156,E71=PriceList!$B$192),PriceList!$B$183,IF(AND($B71=PriceList!$B$157,$H71&lt;&gt;PriceList!$B$128),PriceList!$B$180,PriceList!$B$179))))))))))</f>
        <v/>
      </c>
      <c r="J71" s="95" t="str">
        <f>IF($H71="","",VLOOKUP($H71,HandleLookup[],2,FALSE))</f>
        <v/>
      </c>
      <c r="K71" s="95" t="str">
        <f t="shared" si="1"/>
        <v/>
      </c>
      <c r="L71" s="106" t="str">
        <f>IF($B71=PriceList!$B$163,"",IF(AND($B71=PriceList!$B$155,OR($C71="60x40",C71="60x60",C71="60x80")),"NB! Plywood is happier as drawers if possible.", IF(OR($C71="40x140",C71="40x180",C71="40x200",C71="60x140",C71="60x180",C71="60x200"),"NB! We recommend using MDF Doors for sizes over 120cm","")))</f>
        <v/>
      </c>
      <c r="M71" s="72" t="str">
        <f>IF(OR($C$12=PriceList!$B$134,$C$12=PriceList!$B$139,AND($C$12=PriceList!$B$134,$B71=PriceList!$C$164)),ROUNDUP($F71*$Q71*PriceList!$D$146,0),IF(OR($B71="",$C$14=PriceList!$B$175,$B71=PriceList!$C$164),"",IF($C$12=PriceList!$B$136,ROUNDUP($F71*($R71*PriceList!$E$136+$N71),0),ROUNDUP($F71*($R71*PriceList!$E$135+$N71),0))))</f>
        <v/>
      </c>
      <c r="N71">
        <f>IF(OR($C$12=PriceList!$B$167,$C$14=PriceList!$B$175),0,IF($H71=PriceList!$B$125,PriceList!$D$125,IF($H71=PriceList!$B$126,PriceList!$D$126,0)))</f>
        <v>0</v>
      </c>
      <c r="O71" s="79">
        <f t="shared" si="2"/>
        <v>0</v>
      </c>
      <c r="P71" s="79">
        <f>IF($B71=PriceList!$C$160,($C71+$D71)*0.002*0.03,($C71+$D71)*0.002*0.018)</f>
        <v>0</v>
      </c>
      <c r="Q71" s="79">
        <f t="shared" si="3"/>
        <v>0</v>
      </c>
      <c r="R71" s="79">
        <f t="shared" si="4"/>
        <v>0</v>
      </c>
      <c r="S71" s="79" t="str">
        <f t="shared" si="5"/>
        <v>30mm  Counter Top</v>
      </c>
      <c r="T71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2" spans="1:20" ht="15" customHeight="1" x14ac:dyDescent="0.5">
      <c r="A72" s="203"/>
      <c r="B72" s="94"/>
      <c r="C72" s="146"/>
      <c r="D72" s="146"/>
      <c r="E72" s="27" t="str">
        <f>IF($B72=0,"",IF($C72=PriceList!$B$19,PriceList!$B$190,IF(OR($B72=PriceList!$B$155,$B72=PriceList!$B$156,$B72=PriceList!$B$163,$B72=PriceList!$B$164),"",PriceList!$B$190)))</f>
        <v/>
      </c>
      <c r="F72" s="27"/>
      <c r="G72" s="168" t="str">
        <f>IF($D72="","",IF($B72=PriceList!$B$163,ROUNDUP((VLOOKUP($T$52,PriceLookup,2,FALSE))*(ROUNDUP($D72*$C72/1000000,2)),0),IF($B72=PriceList!$C$160,ROUNDUP((VLOOKUP($S$52,PriceLookup,2,FALSE))*(ROUNDUP($D72*$C72/1000000,2)),0),ROUNDUP((VLOOKUP($C$12,PriceLookup,2,FALSE))*(ROUNDUP($D72*$C72/1000000,2)),0))))</f>
        <v/>
      </c>
      <c r="H72" s="27" t="str">
        <f>IF($B72=0,"",IF(OR($B72=PriceList!$B$156,$B72=PriceList!$B$157,$B72=PriceList!$B$161),PriceList!$B$128,IF(OR($C$15="",$C$15=PriceList!$B$124),PriceList!$B$129,IF(OR($B72=PriceList!$B$154,$B72=PriceList!$B$155,$B72=PriceList!$B$163,$B72=PriceList!$B$164),$C$15,PriceList!$B$129))))</f>
        <v/>
      </c>
      <c r="I72" s="27" t="str">
        <f>IF($B72="","",IF(OR($H72=PriceList!$B$129,$H72=PriceList!$B$128),PriceList!$B$179,IF(OR($B72=PriceList!$B$154,$E72=PriceList!$B$193,$C72=PriceList!$B$5),PriceList!$B$180,IF(AND(OR($B72=PriceList!$B$163,$B72=PriceList!$B$164,ISNUMBER(SEARCH("180",$C72)),ISNUMBER(SEARCH("140",$C72)),ISNUMBER(SEARCH("200",$C72))),$E72=PriceList!$B$191),PriceList!$B$186,IF(AND(OR($B72=PriceList!$B$163,$B72=PriceList!$B$164,ISNUMBER(SEARCH("180",$C72)),ISNUMBER(SEARCH("140",$C72)),ISNUMBER(SEARCH("200",$C72))),$E72=PriceList!$B$192),PriceList!$B$185,IF(AND($B72=PriceList!$B$155,$E72=PriceList!$B$191),PriceList!$B$182,IF(AND(B72=PriceList!$B$155,E72=PriceList!$B$192),PriceList!$B$181,IF(AND($B72=PriceList!$B$156,$E72=PriceList!$B$191),PriceList!$B$184,IF(AND(B72=PriceList!$B$156,E72=PriceList!$B$192),PriceList!$B$183,IF(AND($B72=PriceList!$B$157,$H72&lt;&gt;PriceList!$B$128),PriceList!$B$180,PriceList!$B$179))))))))))</f>
        <v/>
      </c>
      <c r="J72" s="95" t="str">
        <f>IF($H72="","",VLOOKUP($H72,HandleLookup[],2,FALSE))</f>
        <v/>
      </c>
      <c r="K72" s="95" t="str">
        <f t="shared" si="1"/>
        <v/>
      </c>
      <c r="L72" s="106" t="str">
        <f>IF($B72=PriceList!$B$163,"",IF(AND($B72=PriceList!$B$155,OR($C72="60x40",C72="60x60",C72="60x80")),"NB! Plywood is happier as drawers if possible.", IF(OR($C72="40x140",C72="40x180",C72="40x200",C72="60x140",C72="60x180",C72="60x200"),"NB! We recommend using MDF Doors for sizes over 120cm","")))</f>
        <v/>
      </c>
      <c r="M72" s="72" t="str">
        <f>IF(OR($C$12=PriceList!$B$134,$C$12=PriceList!$B$139,AND($C$12=PriceList!$B$134,$B72=PriceList!$C$164)),ROUNDUP($F72*$Q72*PriceList!$D$146,0),IF(OR($B72="",$C$14=PriceList!$B$175,$B72=PriceList!$C$164),"",IF($C$12=PriceList!$B$136,ROUNDUP($F72*($R72*PriceList!$E$136+$N72),0),ROUNDUP($F72*($R72*PriceList!$E$135+$N72),0))))</f>
        <v/>
      </c>
      <c r="N72">
        <f>IF(OR($C$12=PriceList!$B$167,$C$14=PriceList!$B$175),0,IF($H72=PriceList!$B$125,PriceList!$D$125,IF($H72=PriceList!$B$126,PriceList!$D$126,0)))</f>
        <v>0</v>
      </c>
      <c r="O72" s="79">
        <f t="shared" si="2"/>
        <v>0</v>
      </c>
      <c r="P72" s="79">
        <f>IF($B72=PriceList!$C$160,($C72+$D72)*0.002*0.03,($C72+$D72)*0.002*0.018)</f>
        <v>0</v>
      </c>
      <c r="Q72" s="79">
        <f t="shared" si="3"/>
        <v>0</v>
      </c>
      <c r="R72" s="79">
        <f t="shared" si="4"/>
        <v>0</v>
      </c>
      <c r="S72" s="79" t="str">
        <f t="shared" si="5"/>
        <v>30mm  Counter Top</v>
      </c>
      <c r="T72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3" spans="1:20" ht="15" customHeight="1" x14ac:dyDescent="0.5">
      <c r="A73" s="203"/>
      <c r="B73" s="94"/>
      <c r="C73" s="146"/>
      <c r="D73" s="146"/>
      <c r="E73" s="27" t="str">
        <f>IF($B73=0,"",IF($C73=PriceList!$B$19,PriceList!$B$190,IF(OR($B73=PriceList!$B$155,$B73=PriceList!$B$156,$B73=PriceList!$B$163,$B73=PriceList!$B$164),"",PriceList!$B$190)))</f>
        <v/>
      </c>
      <c r="F73" s="27"/>
      <c r="G73" s="168" t="str">
        <f>IF($D73="","",IF($B73=PriceList!$B$163,ROUNDUP((VLOOKUP($T$52,PriceLookup,2,FALSE))*(ROUNDUP($D73*$C73/1000000,2)),0),IF($B73=PriceList!$C$160,ROUNDUP((VLOOKUP($S$52,PriceLookup,2,FALSE))*(ROUNDUP($D73*$C73/1000000,2)),0),ROUNDUP((VLOOKUP($C$12,PriceLookup,2,FALSE))*(ROUNDUP($D73*$C73/1000000,2)),0))))</f>
        <v/>
      </c>
      <c r="H73" s="27" t="str">
        <f>IF($B73=0,"",IF(OR($B73=PriceList!$B$156,$B73=PriceList!$B$157,$B73=PriceList!$B$161),PriceList!$B$128,IF(OR($C$15="",$C$15=PriceList!$B$124),PriceList!$B$129,IF(OR($B73=PriceList!$B$154,$B73=PriceList!$B$155,$B73=PriceList!$B$163,$B73=PriceList!$B$164),$C$15,PriceList!$B$129))))</f>
        <v/>
      </c>
      <c r="I73" s="27" t="str">
        <f>IF($B73="","",IF(OR($H73=PriceList!$B$129,$H73=PriceList!$B$128),PriceList!$B$179,IF(OR($B73=PriceList!$B$154,$E73=PriceList!$B$193,$C73=PriceList!$B$5),PriceList!$B$180,IF(AND(OR($B73=PriceList!$B$163,$B73=PriceList!$B$164,ISNUMBER(SEARCH("180",$C73)),ISNUMBER(SEARCH("140",$C73)),ISNUMBER(SEARCH("200",$C73))),$E73=PriceList!$B$191),PriceList!$B$186,IF(AND(OR($B73=PriceList!$B$163,$B73=PriceList!$B$164,ISNUMBER(SEARCH("180",$C73)),ISNUMBER(SEARCH("140",$C73)),ISNUMBER(SEARCH("200",$C73))),$E73=PriceList!$B$192),PriceList!$B$185,IF(AND($B73=PriceList!$B$155,$E73=PriceList!$B$191),PriceList!$B$182,IF(AND(B73=PriceList!$B$155,E73=PriceList!$B$192),PriceList!$B$181,IF(AND($B73=PriceList!$B$156,$E73=PriceList!$B$191),PriceList!$B$184,IF(AND(B73=PriceList!$B$156,E73=PriceList!$B$192),PriceList!$B$183,IF(AND($B73=PriceList!$B$157,$H73&lt;&gt;PriceList!$B$128),PriceList!$B$180,PriceList!$B$179))))))))))</f>
        <v/>
      </c>
      <c r="J73" s="95" t="str">
        <f>IF($H73="","",VLOOKUP($H73,HandleLookup[],2,FALSE))</f>
        <v/>
      </c>
      <c r="K73" s="95" t="str">
        <f t="shared" si="1"/>
        <v/>
      </c>
      <c r="L73" s="106" t="str">
        <f>IF($B73=PriceList!$B$163,"",IF(AND($B73=PriceList!$B$155,OR($C73="60x40",C73="60x60",C73="60x80")),"NB! Plywood is happier as drawers if possible.", IF(OR($C73="40x140",C73="40x180",C73="40x200",C73="60x140",C73="60x180",C73="60x200"),"NB! We recommend using MDF Doors for sizes over 120cm","")))</f>
        <v/>
      </c>
      <c r="M73" s="72" t="str">
        <f>IF(OR($C$12=PriceList!$B$134,$C$12=PriceList!$B$139,AND($C$12=PriceList!$B$134,$B73=PriceList!$C$164)),ROUNDUP($F73*$Q73*PriceList!$D$146,0),IF(OR($B73="",$C$14=PriceList!$B$175,$B73=PriceList!$C$164),"",IF($C$12=PriceList!$B$136,ROUNDUP($F73*($R73*PriceList!$E$136+$N73),0),ROUNDUP($F73*($R73*PriceList!$E$135+$N73),0))))</f>
        <v/>
      </c>
      <c r="N73">
        <f>IF(OR($C$12=PriceList!$B$167,$C$14=PriceList!$B$175),0,IF($H73=PriceList!$B$125,PriceList!$D$125,IF($H73=PriceList!$B$126,PriceList!$D$126,0)))</f>
        <v>0</v>
      </c>
      <c r="O73" s="79">
        <f t="shared" si="2"/>
        <v>0</v>
      </c>
      <c r="P73" s="79">
        <f>IF($B73=PriceList!$C$160,($C73+$D73)*0.002*0.03,($C73+$D73)*0.002*0.018)</f>
        <v>0</v>
      </c>
      <c r="Q73" s="79">
        <f t="shared" si="3"/>
        <v>0</v>
      </c>
      <c r="R73" s="79">
        <f t="shared" si="4"/>
        <v>0</v>
      </c>
      <c r="S73" s="79" t="str">
        <f t="shared" si="5"/>
        <v>30mm  Counter Top</v>
      </c>
      <c r="T73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4" spans="1:20" ht="15" customHeight="1" x14ac:dyDescent="0.5">
      <c r="A74" s="203"/>
      <c r="B74" s="94"/>
      <c r="C74" s="146"/>
      <c r="D74" s="146"/>
      <c r="E74" s="27" t="str">
        <f>IF($B74=0,"",IF($C74=PriceList!$B$19,PriceList!$B$190,IF(OR($B74=PriceList!$B$155,$B74=PriceList!$B$156,$B74=PriceList!$B$163,$B74=PriceList!$B$164),"",PriceList!$B$190)))</f>
        <v/>
      </c>
      <c r="F74" s="27"/>
      <c r="G74" s="168" t="str">
        <f>IF($D74="","",IF($B74=PriceList!$B$163,ROUNDUP((VLOOKUP($T$52,PriceLookup,2,FALSE))*(ROUNDUP($D74*$C74/1000000,2)),0),IF($B74=PriceList!$C$160,ROUNDUP((VLOOKUP($S$52,PriceLookup,2,FALSE))*(ROUNDUP($D74*$C74/1000000,2)),0),ROUNDUP((VLOOKUP($C$12,PriceLookup,2,FALSE))*(ROUNDUP($D74*$C74/1000000,2)),0))))</f>
        <v/>
      </c>
      <c r="H74" s="27" t="str">
        <f>IF($B74=0,"",IF(OR($B74=PriceList!$B$156,$B74=PriceList!$B$157,$B74=PriceList!$B$161),PriceList!$B$128,IF(OR($C$15="",$C$15=PriceList!$B$124),PriceList!$B$129,IF(OR($B74=PriceList!$B$154,$B74=PriceList!$B$155,$B74=PriceList!$B$163,$B74=PriceList!$B$164),$C$15,PriceList!$B$129))))</f>
        <v/>
      </c>
      <c r="I74" s="27" t="str">
        <f>IF($B74="","",IF(OR($H74=PriceList!$B$129,$H74=PriceList!$B$128),PriceList!$B$179,IF(OR($B74=PriceList!$B$154,$E74=PriceList!$B$193,$C74=PriceList!$B$5),PriceList!$B$180,IF(AND(OR($B74=PriceList!$B$163,$B74=PriceList!$B$164,ISNUMBER(SEARCH("180",$C74)),ISNUMBER(SEARCH("140",$C74)),ISNUMBER(SEARCH("200",$C74))),$E74=PriceList!$B$191),PriceList!$B$186,IF(AND(OR($B74=PriceList!$B$163,$B74=PriceList!$B$164,ISNUMBER(SEARCH("180",$C74)),ISNUMBER(SEARCH("140",$C74)),ISNUMBER(SEARCH("200",$C74))),$E74=PriceList!$B$192),PriceList!$B$185,IF(AND($B74=PriceList!$B$155,$E74=PriceList!$B$191),PriceList!$B$182,IF(AND(B74=PriceList!$B$155,E74=PriceList!$B$192),PriceList!$B$181,IF(AND($B74=PriceList!$B$156,$E74=PriceList!$B$191),PriceList!$B$184,IF(AND(B74=PriceList!$B$156,E74=PriceList!$B$192),PriceList!$B$183,IF(AND($B74=PriceList!$B$157,$H74&lt;&gt;PriceList!$B$128),PriceList!$B$180,PriceList!$B$179))))))))))</f>
        <v/>
      </c>
      <c r="J74" s="95" t="str">
        <f>IF($H74="","",VLOOKUP($H74,HandleLookup[],2,FALSE))</f>
        <v/>
      </c>
      <c r="K74" s="95" t="str">
        <f t="shared" si="1"/>
        <v/>
      </c>
      <c r="L74" s="106" t="str">
        <f>IF($B74=PriceList!$B$163,"",IF(AND($B74=PriceList!$B$155,OR($C74="60x40",C74="60x60",C74="60x80")),"NB! Plywood is happier as drawers if possible.", IF(OR($C74="40x140",C74="40x180",C74="40x200",C74="60x140",C74="60x180",C74="60x200"),"NB! We recommend using MDF Doors for sizes over 120cm","")))</f>
        <v/>
      </c>
      <c r="M74" s="72" t="str">
        <f>IF(OR($C$12=PriceList!$B$134,$C$12=PriceList!$B$139,AND($C$12=PriceList!$B$134,$B74=PriceList!$C$164)),ROUNDUP($F74*$Q74*PriceList!$D$146,0),IF(OR($B74="",$C$14=PriceList!$B$175,$B74=PriceList!$C$164),"",IF($C$12=PriceList!$B$136,ROUNDUP($F74*($R74*PriceList!$E$136+$N74),0),ROUNDUP($F74*($R74*PriceList!$E$135+$N74),0))))</f>
        <v/>
      </c>
      <c r="N74">
        <f>IF(OR($C$12=PriceList!$B$167,$C$14=PriceList!$B$175),0,IF($H74=PriceList!$B$125,PriceList!$D$125,IF($H74=PriceList!$B$126,PriceList!$D$126,0)))</f>
        <v>0</v>
      </c>
      <c r="O74" s="79">
        <f t="shared" si="2"/>
        <v>0</v>
      </c>
      <c r="P74" s="79">
        <f>IF($B74=PriceList!$C$160,($C74+$D74)*0.002*0.03,($C74+$D74)*0.002*0.018)</f>
        <v>0</v>
      </c>
      <c r="Q74" s="79">
        <f t="shared" si="3"/>
        <v>0</v>
      </c>
      <c r="R74" s="79">
        <f t="shared" si="4"/>
        <v>0</v>
      </c>
      <c r="S74" s="79" t="str">
        <f t="shared" si="5"/>
        <v>30mm  Counter Top</v>
      </c>
      <c r="T74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5" spans="1:20" ht="15" customHeight="1" x14ac:dyDescent="0.5">
      <c r="A75" s="203"/>
      <c r="B75" s="94"/>
      <c r="C75" s="146"/>
      <c r="D75" s="146"/>
      <c r="E75" s="27" t="str">
        <f>IF($B75=0,"",IF($C75=PriceList!$B$19,PriceList!$B$190,IF(OR($B75=PriceList!$B$155,$B75=PriceList!$B$156,$B75=PriceList!$B$163,$B75=PriceList!$B$164),"",PriceList!$B$190)))</f>
        <v/>
      </c>
      <c r="F75" s="27"/>
      <c r="G75" s="168" t="str">
        <f>IF($D75="","",IF($B75=PriceList!$B$163,ROUNDUP((VLOOKUP($T$52,PriceLookup,2,FALSE))*(ROUNDUP($D75*$C75/1000000,2)),0),IF($B75=PriceList!$C$160,ROUNDUP((VLOOKUP($S$52,PriceLookup,2,FALSE))*(ROUNDUP($D75*$C75/1000000,2)),0),ROUNDUP((VLOOKUP($C$12,PriceLookup,2,FALSE))*(ROUNDUP($D75*$C75/1000000,2)),0))))</f>
        <v/>
      </c>
      <c r="H75" s="27" t="str">
        <f>IF($B75=0,"",IF(OR($B75=PriceList!$B$156,$B75=PriceList!$B$157,$B75=PriceList!$B$161),PriceList!$B$128,IF(OR($C$15="",$C$15=PriceList!$B$124),PriceList!$B$129,IF(OR($B75=PriceList!$B$154,$B75=PriceList!$B$155,$B75=PriceList!$B$163,$B75=PriceList!$B$164),$C$15,PriceList!$B$129))))</f>
        <v/>
      </c>
      <c r="I75" s="27" t="str">
        <f>IF($B75="","",IF(OR($H75=PriceList!$B$129,$H75=PriceList!$B$128),PriceList!$B$179,IF(OR($B75=PriceList!$B$154,$E75=PriceList!$B$193,$C75=PriceList!$B$5),PriceList!$B$180,IF(AND(OR($B75=PriceList!$B$163,$B75=PriceList!$B$164,ISNUMBER(SEARCH("180",$C75)),ISNUMBER(SEARCH("140",$C75)),ISNUMBER(SEARCH("200",$C75))),$E75=PriceList!$B$191),PriceList!$B$186,IF(AND(OR($B75=PriceList!$B$163,$B75=PriceList!$B$164,ISNUMBER(SEARCH("180",$C75)),ISNUMBER(SEARCH("140",$C75)),ISNUMBER(SEARCH("200",$C75))),$E75=PriceList!$B$192),PriceList!$B$185,IF(AND($B75=PriceList!$B$155,$E75=PriceList!$B$191),PriceList!$B$182,IF(AND(B75=PriceList!$B$155,E75=PriceList!$B$192),PriceList!$B$181,IF(AND($B75=PriceList!$B$156,$E75=PriceList!$B$191),PriceList!$B$184,IF(AND(B75=PriceList!$B$156,E75=PriceList!$B$192),PriceList!$B$183,IF(AND($B75=PriceList!$B$157,$H75&lt;&gt;PriceList!$B$128),PriceList!$B$180,PriceList!$B$179))))))))))</f>
        <v/>
      </c>
      <c r="J75" s="95" t="str">
        <f>IF($H75="","",VLOOKUP($H75,HandleLookup[],2,FALSE))</f>
        <v/>
      </c>
      <c r="K75" s="95" t="str">
        <f t="shared" si="1"/>
        <v/>
      </c>
      <c r="L75" s="106" t="str">
        <f>IF($B75=PriceList!$B$163,"",IF(AND($B75=PriceList!$B$155,OR($C75="60x40",C75="60x60",C75="60x80")),"NB! Plywood is happier as drawers if possible.", IF(OR($C75="40x140",C75="40x180",C75="40x200",C75="60x140",C75="60x180",C75="60x200"),"NB! We recommend using MDF Doors for sizes over 120cm","")))</f>
        <v/>
      </c>
      <c r="M75" s="72" t="str">
        <f>IF(OR($C$12=PriceList!$B$134,$C$12=PriceList!$B$139,AND($C$12=PriceList!$B$134,$B75=PriceList!$C$164)),ROUNDUP($F75*$Q75*PriceList!$D$146,0),IF(OR($B75="",$C$14=PriceList!$B$175,$B75=PriceList!$C$164),"",IF($C$12=PriceList!$B$136,ROUNDUP($F75*($R75*PriceList!$E$136+$N75),0),ROUNDUP($F75*($R75*PriceList!$E$135+$N75),0))))</f>
        <v/>
      </c>
      <c r="N75">
        <f>IF(OR($C$12=PriceList!$B$167,$C$14=PriceList!$B$175),0,IF($H75=PriceList!$B$125,PriceList!$D$125,IF($H75=PriceList!$B$126,PriceList!$D$126,0)))</f>
        <v>0</v>
      </c>
      <c r="O75" s="79">
        <f t="shared" si="2"/>
        <v>0</v>
      </c>
      <c r="P75" s="79">
        <f>IF($B75=PriceList!$C$160,($C75+$D75)*0.002*0.03,($C75+$D75)*0.002*0.018)</f>
        <v>0</v>
      </c>
      <c r="Q75" s="79">
        <f t="shared" si="3"/>
        <v>0</v>
      </c>
      <c r="R75" s="79">
        <f t="shared" si="4"/>
        <v>0</v>
      </c>
      <c r="S75" s="79" t="str">
        <f t="shared" si="5"/>
        <v>30mm  Counter Top</v>
      </c>
      <c r="T75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6" spans="1:20" ht="15" customHeight="1" x14ac:dyDescent="0.5">
      <c r="A76" s="203"/>
      <c r="B76" s="94"/>
      <c r="C76" s="146"/>
      <c r="D76" s="146"/>
      <c r="E76" s="27" t="str">
        <f>IF($B76=0,"",IF($C76=PriceList!$B$19,PriceList!$B$190,IF(OR($B76=PriceList!$B$155,$B76=PriceList!$B$156,$B76=PriceList!$B$163,$B76=PriceList!$B$164),"",PriceList!$B$190)))</f>
        <v/>
      </c>
      <c r="F76" s="27"/>
      <c r="G76" s="168" t="str">
        <f>IF($D76="","",IF($B76=PriceList!$B$163,ROUNDUP((VLOOKUP($T$52,PriceLookup,2,FALSE))*(ROUNDUP($D76*$C76/1000000,2)),0),IF($B76=PriceList!$C$160,ROUNDUP((VLOOKUP($S$52,PriceLookup,2,FALSE))*(ROUNDUP($D76*$C76/1000000,2)),0),ROUNDUP((VLOOKUP($C$12,PriceLookup,2,FALSE))*(ROUNDUP($D76*$C76/1000000,2)),0))))</f>
        <v/>
      </c>
      <c r="H76" s="27" t="str">
        <f>IF($B76=0,"",IF(OR($B76=PriceList!$B$156,$B76=PriceList!$B$157,$B76=PriceList!$B$161),PriceList!$B$128,IF(OR($C$15="",$C$15=PriceList!$B$124),PriceList!$B$129,IF(OR($B76=PriceList!$B$154,$B76=PriceList!$B$155,$B76=PriceList!$B$163,$B76=PriceList!$B$164),$C$15,PriceList!$B$129))))</f>
        <v/>
      </c>
      <c r="I76" s="27" t="str">
        <f>IF($B76="","",IF(OR($H76=PriceList!$B$129,$H76=PriceList!$B$128),PriceList!$B$179,IF(OR($B76=PriceList!$B$154,$E76=PriceList!$B$193,$C76=PriceList!$B$5),PriceList!$B$180,IF(AND(OR($B76=PriceList!$B$163,$B76=PriceList!$B$164,ISNUMBER(SEARCH("180",$C76)),ISNUMBER(SEARCH("140",$C76)),ISNUMBER(SEARCH("200",$C76))),$E76=PriceList!$B$191),PriceList!$B$186,IF(AND(OR($B76=PriceList!$B$163,$B76=PriceList!$B$164,ISNUMBER(SEARCH("180",$C76)),ISNUMBER(SEARCH("140",$C76)),ISNUMBER(SEARCH("200",$C76))),$E76=PriceList!$B$192),PriceList!$B$185,IF(AND($B76=PriceList!$B$155,$E76=PriceList!$B$191),PriceList!$B$182,IF(AND(B76=PriceList!$B$155,E76=PriceList!$B$192),PriceList!$B$181,IF(AND($B76=PriceList!$B$156,$E76=PriceList!$B$191),PriceList!$B$184,IF(AND(B76=PriceList!$B$156,E76=PriceList!$B$192),PriceList!$B$183,IF(AND($B76=PriceList!$B$157,$H76&lt;&gt;PriceList!$B$128),PriceList!$B$180,PriceList!$B$179))))))))))</f>
        <v/>
      </c>
      <c r="J76" s="95" t="str">
        <f>IF($H76="","",VLOOKUP($H76,HandleLookup[],2,FALSE))</f>
        <v/>
      </c>
      <c r="K76" s="95" t="str">
        <f t="shared" si="1"/>
        <v/>
      </c>
      <c r="L76" s="106" t="str">
        <f>IF($B76=PriceList!$B$163,"",IF(AND($B76=PriceList!$B$155,OR($C76="60x40",C76="60x60",C76="60x80")),"NB! Plywood is happier as drawers if possible.", IF(OR($C76="40x140",C76="40x180",C76="40x200",C76="60x140",C76="60x180",C76="60x200"),"NB! We recommend using MDF Doors for sizes over 120cm","")))</f>
        <v/>
      </c>
      <c r="M76" s="72" t="str">
        <f>IF(OR($C$12=PriceList!$B$134,$C$12=PriceList!$B$139,AND($C$12=PriceList!$B$134,$B76=PriceList!$C$164)),ROUNDUP($F76*$Q76*PriceList!$D$146,0),IF(OR($B76="",$C$14=PriceList!$B$175,$B76=PriceList!$C$164),"",IF($C$12=PriceList!$B$136,ROUNDUP($F76*($R76*PriceList!$E$136+$N76),0),ROUNDUP($F76*($R76*PriceList!$E$135+$N76),0))))</f>
        <v/>
      </c>
      <c r="N76">
        <f>IF(OR($C$12=PriceList!$B$167,$C$14=PriceList!$B$175),0,IF($H76=PriceList!$B$125,PriceList!$D$125,IF($H76=PriceList!$B$126,PriceList!$D$126,0)))</f>
        <v>0</v>
      </c>
      <c r="O76" s="79">
        <f t="shared" si="2"/>
        <v>0</v>
      </c>
      <c r="P76" s="79">
        <f>IF($B76=PriceList!$C$160,($C76+$D76)*0.002*0.03,($C76+$D76)*0.002*0.018)</f>
        <v>0</v>
      </c>
      <c r="Q76" s="79">
        <f t="shared" si="3"/>
        <v>0</v>
      </c>
      <c r="R76" s="79">
        <f t="shared" si="4"/>
        <v>0</v>
      </c>
      <c r="S76" s="79" t="str">
        <f t="shared" si="5"/>
        <v>30mm  Counter Top</v>
      </c>
      <c r="T76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7" spans="1:20" ht="15" customHeight="1" x14ac:dyDescent="0.5">
      <c r="A77" s="203"/>
      <c r="B77" s="94"/>
      <c r="C77" s="146"/>
      <c r="D77" s="146"/>
      <c r="E77" s="27" t="str">
        <f>IF($B77=0,"",IF($C77=PriceList!$B$19,PriceList!$B$190,IF(OR($B77=PriceList!$B$155,$B77=PriceList!$B$156,$B77=PriceList!$B$163,$B77=PriceList!$B$164),"",PriceList!$B$190)))</f>
        <v/>
      </c>
      <c r="F77" s="27"/>
      <c r="G77" s="168" t="str">
        <f>IF($D77="","",IF($B77=PriceList!$B$163,ROUNDUP((VLOOKUP($T$52,PriceLookup,2,FALSE))*(ROUNDUP($D77*$C77/1000000,2)),0),IF($B77=PriceList!$C$160,ROUNDUP((VLOOKUP($S$52,PriceLookup,2,FALSE))*(ROUNDUP($D77*$C77/1000000,2)),0),ROUNDUP((VLOOKUP($C$12,PriceLookup,2,FALSE))*(ROUNDUP($D77*$C77/1000000,2)),0))))</f>
        <v/>
      </c>
      <c r="H77" s="27" t="str">
        <f>IF($B77=0,"",IF(OR($B77=PriceList!$B$156,$B77=PriceList!$B$157,$B77=PriceList!$B$161),PriceList!$B$128,IF(OR($C$15="",$C$15=PriceList!$B$124),PriceList!$B$129,IF(OR($B77=PriceList!$B$154,$B77=PriceList!$B$155,$B77=PriceList!$B$163,$B77=PriceList!$B$164),$C$15,PriceList!$B$129))))</f>
        <v/>
      </c>
      <c r="I77" s="27" t="str">
        <f>IF($B77="","",IF(OR($H77=PriceList!$B$129,$H77=PriceList!$B$128),PriceList!$B$179,IF(OR($B77=PriceList!$B$154,$E77=PriceList!$B$193,$C77=PriceList!$B$5),PriceList!$B$180,IF(AND(OR($B77=PriceList!$B$163,$B77=PriceList!$B$164,ISNUMBER(SEARCH("180",$C77)),ISNUMBER(SEARCH("140",$C77)),ISNUMBER(SEARCH("200",$C77))),$E77=PriceList!$B$191),PriceList!$B$186,IF(AND(OR($B77=PriceList!$B$163,$B77=PriceList!$B$164,ISNUMBER(SEARCH("180",$C77)),ISNUMBER(SEARCH("140",$C77)),ISNUMBER(SEARCH("200",$C77))),$E77=PriceList!$B$192),PriceList!$B$185,IF(AND($B77=PriceList!$B$155,$E77=PriceList!$B$191),PriceList!$B$182,IF(AND(B77=PriceList!$B$155,E77=PriceList!$B$192),PriceList!$B$181,IF(AND($B77=PriceList!$B$156,$E77=PriceList!$B$191),PriceList!$B$184,IF(AND(B77=PriceList!$B$156,E77=PriceList!$B$192),PriceList!$B$183,IF(AND($B77=PriceList!$B$157,$H77&lt;&gt;PriceList!$B$128),PriceList!$B$180,PriceList!$B$179))))))))))</f>
        <v/>
      </c>
      <c r="J77" s="95" t="str">
        <f>IF($H77="","",VLOOKUP($H77,HandleLookup[],2,FALSE))</f>
        <v/>
      </c>
      <c r="K77" s="95" t="str">
        <f t="shared" si="1"/>
        <v/>
      </c>
      <c r="L77" s="106" t="str">
        <f>IF($B77=PriceList!$B$163,"",IF(AND($B77=PriceList!$B$155,OR($C77="60x40",C77="60x60",C77="60x80")),"NB! Plywood is happier as drawers if possible.", IF(OR($C77="40x140",C77="40x180",C77="40x200",C77="60x140",C77="60x180",C77="60x200"),"NB! We recommend using MDF Doors for sizes over 120cm","")))</f>
        <v/>
      </c>
      <c r="M77" s="72" t="str">
        <f>IF(OR($C$12=PriceList!$B$134,$C$12=PriceList!$B$139,AND($C$12=PriceList!$B$134,$B77=PriceList!$C$164)),ROUNDUP($F77*$Q77*PriceList!$D$146,0),IF(OR($B77="",$C$14=PriceList!$B$175,$B77=PriceList!$C$164),"",IF($C$12=PriceList!$B$136,ROUNDUP($F77*($R77*PriceList!$E$136+$N77),0),ROUNDUP($F77*($R77*PriceList!$E$135+$N77),0))))</f>
        <v/>
      </c>
      <c r="N77">
        <f>IF(OR($C$12=PriceList!$B$167,$C$14=PriceList!$B$175),0,IF($H77=PriceList!$B$125,PriceList!$D$125,IF($H77=PriceList!$B$126,PriceList!$D$126,0)))</f>
        <v>0</v>
      </c>
      <c r="O77" s="79">
        <f t="shared" si="2"/>
        <v>0</v>
      </c>
      <c r="P77" s="79">
        <f>IF($B77=PriceList!$C$160,($C77+$D77)*0.002*0.03,($C77+$D77)*0.002*0.018)</f>
        <v>0</v>
      </c>
      <c r="Q77" s="79">
        <f t="shared" si="3"/>
        <v>0</v>
      </c>
      <c r="R77" s="79">
        <f t="shared" si="4"/>
        <v>0</v>
      </c>
      <c r="S77" s="79" t="str">
        <f t="shared" si="5"/>
        <v>30mm  Counter Top</v>
      </c>
      <c r="T77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8" spans="1:20" ht="15" customHeight="1" x14ac:dyDescent="0.5">
      <c r="A78" s="203"/>
      <c r="B78" s="94"/>
      <c r="C78" s="146"/>
      <c r="D78" s="146"/>
      <c r="E78" s="27" t="str">
        <f>IF($B78=0,"",IF($C78=PriceList!$B$19,PriceList!$B$190,IF(OR($B78=PriceList!$B$155,$B78=PriceList!$B$156,$B78=PriceList!$B$163,$B78=PriceList!$B$164),"",PriceList!$B$190)))</f>
        <v/>
      </c>
      <c r="F78" s="27"/>
      <c r="G78" s="168" t="str">
        <f>IF($D78="","",IF($B78=PriceList!$B$163,ROUNDUP((VLOOKUP($T$52,PriceLookup,2,FALSE))*(ROUNDUP($D78*$C78/1000000,2)),0),IF($B78=PriceList!$C$160,ROUNDUP((VLOOKUP($S$52,PriceLookup,2,FALSE))*(ROUNDUP($D78*$C78/1000000,2)),0),ROUNDUP((VLOOKUP($C$12,PriceLookup,2,FALSE))*(ROUNDUP($D78*$C78/1000000,2)),0))))</f>
        <v/>
      </c>
      <c r="H78" s="27" t="str">
        <f>IF($B78=0,"",IF(OR($B78=PriceList!$B$156,$B78=PriceList!$B$157,$B78=PriceList!$B$161),PriceList!$B$128,IF(OR($C$15="",$C$15=PriceList!$B$124),PriceList!$B$129,IF(OR($B78=PriceList!$B$154,$B78=PriceList!$B$155,$B78=PriceList!$B$163,$B78=PriceList!$B$164),$C$15,PriceList!$B$129))))</f>
        <v/>
      </c>
      <c r="I78" s="27" t="str">
        <f>IF($B78="","",IF(OR($H78=PriceList!$B$129,$H78=PriceList!$B$128),PriceList!$B$179,IF(OR($B78=PriceList!$B$154,$E78=PriceList!$B$193,$C78=PriceList!$B$5),PriceList!$B$180,IF(AND(OR($B78=PriceList!$B$163,$B78=PriceList!$B$164,ISNUMBER(SEARCH("180",$C78)),ISNUMBER(SEARCH("140",$C78)),ISNUMBER(SEARCH("200",$C78))),$E78=PriceList!$B$191),PriceList!$B$186,IF(AND(OR($B78=PriceList!$B$163,$B78=PriceList!$B$164,ISNUMBER(SEARCH("180",$C78)),ISNUMBER(SEARCH("140",$C78)),ISNUMBER(SEARCH("200",$C78))),$E78=PriceList!$B$192),PriceList!$B$185,IF(AND($B78=PriceList!$B$155,$E78=PriceList!$B$191),PriceList!$B$182,IF(AND(B78=PriceList!$B$155,E78=PriceList!$B$192),PriceList!$B$181,IF(AND($B78=PriceList!$B$156,$E78=PriceList!$B$191),PriceList!$B$184,IF(AND(B78=PriceList!$B$156,E78=PriceList!$B$192),PriceList!$B$183,IF(AND($B78=PriceList!$B$157,$H78&lt;&gt;PriceList!$B$128),PriceList!$B$180,PriceList!$B$179))))))))))</f>
        <v/>
      </c>
      <c r="J78" s="95" t="str">
        <f>IF($H78="","",VLOOKUP($H78,HandleLookup[],2,FALSE))</f>
        <v/>
      </c>
      <c r="K78" s="95" t="str">
        <f t="shared" si="1"/>
        <v/>
      </c>
      <c r="L78" s="106" t="str">
        <f>IF($B78=PriceList!$B$163,"",IF(AND($B78=PriceList!$B$155,OR($C78="60x40",C78="60x60",C78="60x80")),"NB! Plywood is happier as drawers if possible.", IF(OR($C78="40x140",C78="40x180",C78="40x200",C78="60x140",C78="60x180",C78="60x200"),"NB! We recommend using MDF Doors for sizes over 120cm","")))</f>
        <v/>
      </c>
      <c r="M78" s="72" t="str">
        <f>IF(OR($C$12=PriceList!$B$134,$C$12=PriceList!$B$139,AND($C$12=PriceList!$B$134,$B78=PriceList!$C$164)),ROUNDUP($F78*$Q78*PriceList!$D$146,0),IF(OR($B78="",$C$14=PriceList!$B$175,$B78=PriceList!$C$164),"",IF($C$12=PriceList!$B$136,ROUNDUP($F78*($R78*PriceList!$E$136+$N78),0),ROUNDUP($F78*($R78*PriceList!$E$135+$N78),0))))</f>
        <v/>
      </c>
      <c r="N78">
        <f>IF(OR($C$12=PriceList!$B$167,$C$14=PriceList!$B$175),0,IF($H78=PriceList!$B$125,PriceList!$D$125,IF($H78=PriceList!$B$126,PriceList!$D$126,0)))</f>
        <v>0</v>
      </c>
      <c r="O78" s="79">
        <f t="shared" si="2"/>
        <v>0</v>
      </c>
      <c r="P78" s="79">
        <f>IF($B78=PriceList!$C$160,($C78+$D78)*0.002*0.03,($C78+$D78)*0.002*0.018)</f>
        <v>0</v>
      </c>
      <c r="Q78" s="79">
        <f t="shared" si="3"/>
        <v>0</v>
      </c>
      <c r="R78" s="79">
        <f t="shared" si="4"/>
        <v>0</v>
      </c>
      <c r="S78" s="79" t="str">
        <f t="shared" si="5"/>
        <v>30mm  Counter Top</v>
      </c>
      <c r="T78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79" spans="1:20" ht="15" customHeight="1" x14ac:dyDescent="0.5">
      <c r="A79" s="203"/>
      <c r="B79" s="94"/>
      <c r="C79" s="146"/>
      <c r="D79" s="146"/>
      <c r="E79" s="27" t="str">
        <f>IF($B79=0,"",IF($C79=PriceList!$B$19,PriceList!$B$190,IF(OR($B79=PriceList!$B$155,$B79=PriceList!$B$156,$B79=PriceList!$B$163,$B79=PriceList!$B$164),"",PriceList!$B$190)))</f>
        <v/>
      </c>
      <c r="F79" s="27"/>
      <c r="G79" s="168" t="str">
        <f>IF($D79="","",IF($B79=PriceList!$B$163,ROUNDUP((VLOOKUP($T$52,PriceLookup,2,FALSE))*(ROUNDUP($D79*$C79/1000000,2)),0),IF($B79=PriceList!$C$160,ROUNDUP((VLOOKUP($S$52,PriceLookup,2,FALSE))*(ROUNDUP($D79*$C79/1000000,2)),0),ROUNDUP((VLOOKUP($C$12,PriceLookup,2,FALSE))*(ROUNDUP($D79*$C79/1000000,2)),0))))</f>
        <v/>
      </c>
      <c r="H79" s="27" t="str">
        <f>IF($B79=0,"",IF(OR($B79=PriceList!$B$156,$B79=PriceList!$B$157,$B79=PriceList!$B$161),PriceList!$B$128,IF(OR($C$15="",$C$15=PriceList!$B$124),PriceList!$B$129,IF(OR($B79=PriceList!$B$154,$B79=PriceList!$B$155,$B79=PriceList!$B$163,$B79=PriceList!$B$164),$C$15,PriceList!$B$129))))</f>
        <v/>
      </c>
      <c r="I79" s="27" t="str">
        <f>IF($B79="","",IF(OR($H79=PriceList!$B$129,$H79=PriceList!$B$128),PriceList!$B$179,IF(OR($B79=PriceList!$B$154,$E79=PriceList!$B$193,$C79=PriceList!$B$5),PriceList!$B$180,IF(AND(OR($B79=PriceList!$B$163,$B79=PriceList!$B$164,ISNUMBER(SEARCH("180",$C79)),ISNUMBER(SEARCH("140",$C79)),ISNUMBER(SEARCH("200",$C79))),$E79=PriceList!$B$191),PriceList!$B$186,IF(AND(OR($B79=PriceList!$B$163,$B79=PriceList!$B$164,ISNUMBER(SEARCH("180",$C79)),ISNUMBER(SEARCH("140",$C79)),ISNUMBER(SEARCH("200",$C79))),$E79=PriceList!$B$192),PriceList!$B$185,IF(AND($B79=PriceList!$B$155,$E79=PriceList!$B$191),PriceList!$B$182,IF(AND(B79=PriceList!$B$155,E79=PriceList!$B$192),PriceList!$B$181,IF(AND($B79=PriceList!$B$156,$E79=PriceList!$B$191),PriceList!$B$184,IF(AND(B79=PriceList!$B$156,E79=PriceList!$B$192),PriceList!$B$183,IF(AND($B79=PriceList!$B$157,$H79&lt;&gt;PriceList!$B$128),PriceList!$B$180,PriceList!$B$179))))))))))</f>
        <v/>
      </c>
      <c r="J79" s="95" t="str">
        <f>IF($H79="","",VLOOKUP($H79,HandleLookup[],2,FALSE))</f>
        <v/>
      </c>
      <c r="K79" s="95" t="str">
        <f t="shared" si="1"/>
        <v/>
      </c>
      <c r="L79" s="106" t="str">
        <f>IF($B79=PriceList!$B$163,"",IF(AND($B79=PriceList!$B$155,OR($C79="60x40",C79="60x60",C79="60x80")),"NB! Plywood is happier as drawers if possible.", IF(OR($C79="40x140",C79="40x180",C79="40x200",C79="60x140",C79="60x180",C79="60x200"),"NB! We recommend using MDF Doors for sizes over 120cm","")))</f>
        <v/>
      </c>
      <c r="M79" s="72" t="str">
        <f>IF(OR($C$12=PriceList!$B$134,$C$12=PriceList!$B$139,AND($C$12=PriceList!$B$134,$B79=PriceList!$C$164)),ROUNDUP($F79*$Q79*PriceList!$D$146,0),IF(OR($B79="",$C$14=PriceList!$B$175,$B79=PriceList!$C$164),"",IF($C$12=PriceList!$B$136,ROUNDUP($F79*($R79*PriceList!$E$136+$N79),0),ROUNDUP($F79*($R79*PriceList!$E$135+$N79),0))))</f>
        <v/>
      </c>
      <c r="N79">
        <f>IF(OR($C$12=PriceList!$B$167,$C$14=PriceList!$B$175),0,IF($H79=PriceList!$B$125,PriceList!$D$125,IF($H79=PriceList!$B$126,PriceList!$D$126,0)))</f>
        <v>0</v>
      </c>
      <c r="O79" s="79">
        <f t="shared" si="2"/>
        <v>0</v>
      </c>
      <c r="P79" s="79">
        <f>IF($B79=PriceList!$C$160,($C79+$D79)*0.002*0.03,($C79+$D79)*0.002*0.018)</f>
        <v>0</v>
      </c>
      <c r="Q79" s="79">
        <f t="shared" si="3"/>
        <v>0</v>
      </c>
      <c r="R79" s="79">
        <f t="shared" si="4"/>
        <v>0</v>
      </c>
      <c r="S79" s="79" t="str">
        <f t="shared" si="5"/>
        <v>30mm  Counter Top</v>
      </c>
      <c r="T79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0" spans="1:20" ht="15" customHeight="1" x14ac:dyDescent="0.5">
      <c r="A80" s="203"/>
      <c r="B80" s="94"/>
      <c r="C80" s="146"/>
      <c r="D80" s="146"/>
      <c r="E80" s="27" t="str">
        <f>IF($B80=0,"",IF($C80=PriceList!$B$19,PriceList!$B$190,IF(OR($B80=PriceList!$B$155,$B80=PriceList!$B$156,$B80=PriceList!$B$163,$B80=PriceList!$B$164),"",PriceList!$B$190)))</f>
        <v/>
      </c>
      <c r="F80" s="27"/>
      <c r="G80" s="168" t="str">
        <f>IF($D80="","",IF($B80=PriceList!$B$163,ROUNDUP((VLOOKUP($T$52,PriceLookup,2,FALSE))*(ROUNDUP($D80*$C80/1000000,2)),0),IF($B80=PriceList!$C$160,ROUNDUP((VLOOKUP($S$52,PriceLookup,2,FALSE))*(ROUNDUP($D80*$C80/1000000,2)),0),ROUNDUP((VLOOKUP($C$12,PriceLookup,2,FALSE))*(ROUNDUP($D80*$C80/1000000,2)),0))))</f>
        <v/>
      </c>
      <c r="H80" s="27" t="str">
        <f>IF($B80=0,"",IF(OR($B80=PriceList!$B$156,$B80=PriceList!$B$157,$B80=PriceList!$B$161),PriceList!$B$128,IF(OR($C$15="",$C$15=PriceList!$B$124),PriceList!$B$129,IF(OR($B80=PriceList!$B$154,$B80=PriceList!$B$155,$B80=PriceList!$B$163,$B80=PriceList!$B$164),$C$15,PriceList!$B$129))))</f>
        <v/>
      </c>
      <c r="I80" s="27" t="str">
        <f>IF($B80="","",IF(OR($H80=PriceList!$B$129,$H80=PriceList!$B$128),PriceList!$B$179,IF(OR($B80=PriceList!$B$154,$E80=PriceList!$B$193,$C80=PriceList!$B$5),PriceList!$B$180,IF(AND(OR($B80=PriceList!$B$163,$B80=PriceList!$B$164,ISNUMBER(SEARCH("180",$C80)),ISNUMBER(SEARCH("140",$C80)),ISNUMBER(SEARCH("200",$C80))),$E80=PriceList!$B$191),PriceList!$B$186,IF(AND(OR($B80=PriceList!$B$163,$B80=PriceList!$B$164,ISNUMBER(SEARCH("180",$C80)),ISNUMBER(SEARCH("140",$C80)),ISNUMBER(SEARCH("200",$C80))),$E80=PriceList!$B$192),PriceList!$B$185,IF(AND($B80=PriceList!$B$155,$E80=PriceList!$B$191),PriceList!$B$182,IF(AND(B80=PriceList!$B$155,E80=PriceList!$B$192),PriceList!$B$181,IF(AND($B80=PriceList!$B$156,$E80=PriceList!$B$191),PriceList!$B$184,IF(AND(B80=PriceList!$B$156,E80=PriceList!$B$192),PriceList!$B$183,IF(AND($B80=PriceList!$B$157,$H80&lt;&gt;PriceList!$B$128),PriceList!$B$180,PriceList!$B$179))))))))))</f>
        <v/>
      </c>
      <c r="J80" s="95" t="str">
        <f>IF($H80="","",VLOOKUP($H80,HandleLookup[],2,FALSE))</f>
        <v/>
      </c>
      <c r="K80" s="95" t="str">
        <f t="shared" si="1"/>
        <v/>
      </c>
      <c r="L80" s="106" t="str">
        <f>IF($B80=PriceList!$B$163,"",IF(AND($B80=PriceList!$B$155,OR($C80="60x40",C80="60x60",C80="60x80")),"NB! Plywood is happier as drawers if possible.", IF(OR($C80="40x140",C80="40x180",C80="40x200",C80="60x140",C80="60x180",C80="60x200"),"NB! We recommend using MDF Doors for sizes over 120cm","")))</f>
        <v/>
      </c>
      <c r="M80" s="72" t="str">
        <f>IF(OR($C$12=PriceList!$B$134,$C$12=PriceList!$B$139,AND($C$12=PriceList!$B$134,$B80=PriceList!$C$164)),ROUNDUP($F80*$Q80*PriceList!$D$146,0),IF(OR($B80="",$C$14=PriceList!$B$175,$B80=PriceList!$C$164),"",IF($C$12=PriceList!$B$136,ROUNDUP($F80*($R80*PriceList!$E$136+$N80),0),ROUNDUP($F80*($R80*PriceList!$E$135+$N80),0))))</f>
        <v/>
      </c>
      <c r="N80">
        <f>IF(OR($C$12=PriceList!$B$167,$C$14=PriceList!$B$175),0,IF($H80=PriceList!$B$125,PriceList!$D$125,IF($H80=PriceList!$B$126,PriceList!$D$126,0)))</f>
        <v>0</v>
      </c>
      <c r="O80" s="79">
        <f t="shared" si="2"/>
        <v>0</v>
      </c>
      <c r="P80" s="79">
        <f>IF($B80=PriceList!$C$160,($C80+$D80)*0.002*0.03,($C80+$D80)*0.002*0.018)</f>
        <v>0</v>
      </c>
      <c r="Q80" s="79">
        <f t="shared" si="3"/>
        <v>0</v>
      </c>
      <c r="R80" s="79">
        <f t="shared" si="4"/>
        <v>0</v>
      </c>
      <c r="S80" s="79" t="str">
        <f t="shared" si="5"/>
        <v>30mm  Counter Top</v>
      </c>
      <c r="T80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1" spans="1:20" ht="15" customHeight="1" x14ac:dyDescent="0.5">
      <c r="A81" s="203"/>
      <c r="B81" s="94"/>
      <c r="C81" s="146"/>
      <c r="D81" s="146"/>
      <c r="E81" s="27" t="str">
        <f>IF($B81=0,"",IF($C81=PriceList!$B$19,PriceList!$B$190,IF(OR($B81=PriceList!$B$155,$B81=PriceList!$B$156,$B81=PriceList!$B$163,$B81=PriceList!$B$164),"",PriceList!$B$190)))</f>
        <v/>
      </c>
      <c r="F81" s="27"/>
      <c r="G81" s="168" t="str">
        <f>IF($D81="","",IF($B81=PriceList!$B$163,ROUNDUP((VLOOKUP($T$52,PriceLookup,2,FALSE))*(ROUNDUP($D81*$C81/1000000,2)),0),IF($B81=PriceList!$C$160,ROUNDUP((VLOOKUP($S$52,PriceLookup,2,FALSE))*(ROUNDUP($D81*$C81/1000000,2)),0),ROUNDUP((VLOOKUP($C$12,PriceLookup,2,FALSE))*(ROUNDUP($D81*$C81/1000000,2)),0))))</f>
        <v/>
      </c>
      <c r="H81" s="27" t="str">
        <f>IF($B81=0,"",IF(OR($B81=PriceList!$B$156,$B81=PriceList!$B$157,$B81=PriceList!$B$161),PriceList!$B$128,IF(OR($C$15="",$C$15=PriceList!$B$124),PriceList!$B$129,IF(OR($B81=PriceList!$B$154,$B81=PriceList!$B$155,$B81=PriceList!$B$163,$B81=PriceList!$B$164),$C$15,PriceList!$B$129))))</f>
        <v/>
      </c>
      <c r="I81" s="27" t="str">
        <f>IF($B81="","",IF(OR($H81=PriceList!$B$129,$H81=PriceList!$B$128),PriceList!$B$179,IF(OR($B81=PriceList!$B$154,$E81=PriceList!$B$193,$C81=PriceList!$B$5),PriceList!$B$180,IF(AND(OR($B81=PriceList!$B$163,$B81=PriceList!$B$164,ISNUMBER(SEARCH("180",$C81)),ISNUMBER(SEARCH("140",$C81)),ISNUMBER(SEARCH("200",$C81))),$E81=PriceList!$B$191),PriceList!$B$186,IF(AND(OR($B81=PriceList!$B$163,$B81=PriceList!$B$164,ISNUMBER(SEARCH("180",$C81)),ISNUMBER(SEARCH("140",$C81)),ISNUMBER(SEARCH("200",$C81))),$E81=PriceList!$B$192),PriceList!$B$185,IF(AND($B81=PriceList!$B$155,$E81=PriceList!$B$191),PriceList!$B$182,IF(AND(B81=PriceList!$B$155,E81=PriceList!$B$192),PriceList!$B$181,IF(AND($B81=PriceList!$B$156,$E81=PriceList!$B$191),PriceList!$B$184,IF(AND(B81=PriceList!$B$156,E81=PriceList!$B$192),PriceList!$B$183,IF(AND($B81=PriceList!$B$157,$H81&lt;&gt;PriceList!$B$128),PriceList!$B$180,PriceList!$B$179))))))))))</f>
        <v/>
      </c>
      <c r="J81" s="95" t="str">
        <f>IF($H81="","",VLOOKUP($H81,HandleLookup[],2,FALSE))</f>
        <v/>
      </c>
      <c r="K81" s="95" t="str">
        <f t="shared" si="1"/>
        <v/>
      </c>
      <c r="L81" s="106" t="str">
        <f>IF($B81=PriceList!$B$163,"",IF(AND($B81=PriceList!$B$155,OR($C81="60x40",C81="60x60",C81="60x80")),"NB! Plywood is happier as drawers if possible.", IF(OR($C81="40x140",C81="40x180",C81="40x200",C81="60x140",C81="60x180",C81="60x200"),"NB! We recommend using MDF Doors for sizes over 120cm","")))</f>
        <v/>
      </c>
      <c r="M81" s="72" t="str">
        <f>IF(OR($C$12=PriceList!$B$134,$C$12=PriceList!$B$139,AND($C$12=PriceList!$B$134,$B81=PriceList!$C$164)),ROUNDUP($F81*$Q81*PriceList!$D$146,0),IF(OR($B81="",$C$14=PriceList!$B$175,$B81=PriceList!$C$164),"",IF($C$12=PriceList!$B$136,ROUNDUP($F81*($R81*PriceList!$E$136+$N81),0),ROUNDUP($F81*($R81*PriceList!$E$135+$N81),0))))</f>
        <v/>
      </c>
      <c r="N81">
        <f>IF(OR($C$12=PriceList!$B$167,$C$14=PriceList!$B$175),0,IF($H81=PriceList!$B$125,PriceList!$D$125,IF($H81=PriceList!$B$126,PriceList!$D$126,0)))</f>
        <v>0</v>
      </c>
      <c r="O81" s="79">
        <f t="shared" si="2"/>
        <v>0</v>
      </c>
      <c r="P81" s="79">
        <f>IF($B81=PriceList!$C$160,($C81+$D81)*0.002*0.03,($C81+$D81)*0.002*0.018)</f>
        <v>0</v>
      </c>
      <c r="Q81" s="79">
        <f t="shared" si="3"/>
        <v>0</v>
      </c>
      <c r="R81" s="79">
        <f t="shared" si="4"/>
        <v>0</v>
      </c>
      <c r="S81" s="79" t="str">
        <f t="shared" si="5"/>
        <v>30mm  Counter Top</v>
      </c>
      <c r="T81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2" spans="1:20" ht="15" customHeight="1" x14ac:dyDescent="0.5">
      <c r="A82" s="203"/>
      <c r="B82" s="94"/>
      <c r="C82" s="146"/>
      <c r="D82" s="146"/>
      <c r="E82" s="27" t="str">
        <f>IF($B82=0,"",IF($C82=PriceList!$B$19,PriceList!$B$190,IF(OR($B82=PriceList!$B$155,$B82=PriceList!$B$156,$B82=PriceList!$B$163,$B82=PriceList!$B$164),"",PriceList!$B$190)))</f>
        <v/>
      </c>
      <c r="F82" s="27"/>
      <c r="G82" s="168" t="str">
        <f>IF($D82="","",IF($B82=PriceList!$B$163,ROUNDUP((VLOOKUP($T$52,PriceLookup,2,FALSE))*(ROUNDUP($D82*$C82/1000000,2)),0),IF($B82=PriceList!$C$160,ROUNDUP((VLOOKUP($S$52,PriceLookup,2,FALSE))*(ROUNDUP($D82*$C82/1000000,2)),0),ROUNDUP((VLOOKUP($C$12,PriceLookup,2,FALSE))*(ROUNDUP($D82*$C82/1000000,2)),0))))</f>
        <v/>
      </c>
      <c r="H82" s="27" t="str">
        <f>IF($B82=0,"",IF(OR($B82=PriceList!$B$156,$B82=PriceList!$B$157,$B82=PriceList!$B$161),PriceList!$B$128,IF(OR($C$15="",$C$15=PriceList!$B$124),PriceList!$B$129,IF(OR($B82=PriceList!$B$154,$B82=PriceList!$B$155,$B82=PriceList!$B$163,$B82=PriceList!$B$164),$C$15,PriceList!$B$129))))</f>
        <v/>
      </c>
      <c r="I82" s="27" t="str">
        <f>IF($B82="","",IF(OR($H82=PriceList!$B$129,$H82=PriceList!$B$128),PriceList!$B$179,IF(OR($B82=PriceList!$B$154,$E82=PriceList!$B$193,$C82=PriceList!$B$5),PriceList!$B$180,IF(AND(OR($B82=PriceList!$B$163,$B82=PriceList!$B$164,ISNUMBER(SEARCH("180",$C82)),ISNUMBER(SEARCH("140",$C82)),ISNUMBER(SEARCH("200",$C82))),$E82=PriceList!$B$191),PriceList!$B$186,IF(AND(OR($B82=PriceList!$B$163,$B82=PriceList!$B$164,ISNUMBER(SEARCH("180",$C82)),ISNUMBER(SEARCH("140",$C82)),ISNUMBER(SEARCH("200",$C82))),$E82=PriceList!$B$192),PriceList!$B$185,IF(AND($B82=PriceList!$B$155,$E82=PriceList!$B$191),PriceList!$B$182,IF(AND(B82=PriceList!$B$155,E82=PriceList!$B$192),PriceList!$B$181,IF(AND($B82=PriceList!$B$156,$E82=PriceList!$B$191),PriceList!$B$184,IF(AND(B82=PriceList!$B$156,E82=PriceList!$B$192),PriceList!$B$183,IF(AND($B82=PriceList!$B$157,$H82&lt;&gt;PriceList!$B$128),PriceList!$B$180,PriceList!$B$179))))))))))</f>
        <v/>
      </c>
      <c r="J82" s="95" t="str">
        <f>IF($H82="","",VLOOKUP($H82,HandleLookup[],2,FALSE))</f>
        <v/>
      </c>
      <c r="K82" s="95" t="str">
        <f t="shared" si="1"/>
        <v/>
      </c>
      <c r="L82" s="106" t="str">
        <f>IF($B82=PriceList!$B$163,"",IF(AND($B82=PriceList!$B$155,OR($C82="60x40",C82="60x60",C82="60x80")),"NB! Plywood is happier as drawers if possible.", IF(OR($C82="40x140",C82="40x180",C82="40x200",C82="60x140",C82="60x180",C82="60x200"),"NB! We recommend using MDF Doors for sizes over 120cm","")))</f>
        <v/>
      </c>
      <c r="M82" s="72" t="str">
        <f>IF(OR($C$12=PriceList!$B$134,$C$12=PriceList!$B$139,AND($C$12=PriceList!$B$134,$B82=PriceList!$C$164)),ROUNDUP($F82*$Q82*PriceList!$D$146,0),IF(OR($B82="",$C$14=PriceList!$B$175,$B82=PriceList!$C$164),"",IF($C$12=PriceList!$B$136,ROUNDUP($F82*($R82*PriceList!$E$136+$N82),0),ROUNDUP($F82*($R82*PriceList!$E$135+$N82),0))))</f>
        <v/>
      </c>
      <c r="N82">
        <f>IF(OR($C$12=PriceList!$B$167,$C$14=PriceList!$B$175),0,IF($H82=PriceList!$B$125,PriceList!$D$125,IF($H82=PriceList!$B$126,PriceList!$D$126,0)))</f>
        <v>0</v>
      </c>
      <c r="O82" s="79">
        <f t="shared" si="2"/>
        <v>0</v>
      </c>
      <c r="P82" s="79">
        <f>IF($B82=PriceList!$C$160,($C82+$D82)*0.002*0.03,($C82+$D82)*0.002*0.018)</f>
        <v>0</v>
      </c>
      <c r="Q82" s="79">
        <f t="shared" si="3"/>
        <v>0</v>
      </c>
      <c r="R82" s="79">
        <f t="shared" si="4"/>
        <v>0</v>
      </c>
      <c r="S82" s="79" t="str">
        <f t="shared" si="5"/>
        <v>30mm  Counter Top</v>
      </c>
      <c r="T82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3" spans="1:20" ht="15" customHeight="1" x14ac:dyDescent="0.5">
      <c r="A83" s="203"/>
      <c r="B83" s="94"/>
      <c r="C83" s="146"/>
      <c r="D83" s="146"/>
      <c r="E83" s="27" t="str">
        <f>IF($B83=0,"",IF($C83=PriceList!$B$19,PriceList!$B$190,IF(OR($B83=PriceList!$B$155,$B83=PriceList!$B$156,$B83=PriceList!$B$163,$B83=PriceList!$B$164),"",PriceList!$B$190)))</f>
        <v/>
      </c>
      <c r="F83" s="27"/>
      <c r="G83" s="168" t="str">
        <f>IF($D83="","",IF($B83=PriceList!$B$163,ROUNDUP((VLOOKUP($T$52,PriceLookup,2,FALSE))*(ROUNDUP($D83*$C83/1000000,2)),0),IF($B83=PriceList!$C$160,ROUNDUP((VLOOKUP($S$52,PriceLookup,2,FALSE))*(ROUNDUP($D83*$C83/1000000,2)),0),ROUNDUP((VLOOKUP($C$12,PriceLookup,2,FALSE))*(ROUNDUP($D83*$C83/1000000,2)),0))))</f>
        <v/>
      </c>
      <c r="H83" s="27" t="str">
        <f>IF($B83=0,"",IF(OR($B83=PriceList!$B$156,$B83=PriceList!$B$157,$B83=PriceList!$B$161),PriceList!$B$128,IF(OR($C$15="",$C$15=PriceList!$B$124),PriceList!$B$129,IF(OR($B83=PriceList!$B$154,$B83=PriceList!$B$155,$B83=PriceList!$B$163,$B83=PriceList!$B$164),$C$15,PriceList!$B$129))))</f>
        <v/>
      </c>
      <c r="I83" s="27" t="str">
        <f>IF($B83="","",IF(OR($H83=PriceList!$B$129,$H83=PriceList!$B$128),PriceList!$B$179,IF(OR($B83=PriceList!$B$154,$E83=PriceList!$B$193,$C83=PriceList!$B$5),PriceList!$B$180,IF(AND(OR($B83=PriceList!$B$163,$B83=PriceList!$B$164,ISNUMBER(SEARCH("180",$C83)),ISNUMBER(SEARCH("140",$C83)),ISNUMBER(SEARCH("200",$C83))),$E83=PriceList!$B$191),PriceList!$B$186,IF(AND(OR($B83=PriceList!$B$163,$B83=PriceList!$B$164,ISNUMBER(SEARCH("180",$C83)),ISNUMBER(SEARCH("140",$C83)),ISNUMBER(SEARCH("200",$C83))),$E83=PriceList!$B$192),PriceList!$B$185,IF(AND($B83=PriceList!$B$155,$E83=PriceList!$B$191),PriceList!$B$182,IF(AND(B83=PriceList!$B$155,E83=PriceList!$B$192),PriceList!$B$181,IF(AND($B83=PriceList!$B$156,$E83=PriceList!$B$191),PriceList!$B$184,IF(AND(B83=PriceList!$B$156,E83=PriceList!$B$192),PriceList!$B$183,IF(AND($B83=PriceList!$B$157,$H83&lt;&gt;PriceList!$B$128),PriceList!$B$180,PriceList!$B$179))))))))))</f>
        <v/>
      </c>
      <c r="J83" s="95" t="str">
        <f>IF($H83="","",VLOOKUP($H83,HandleLookup[],2,FALSE))</f>
        <v/>
      </c>
      <c r="K83" s="95" t="str">
        <f t="shared" si="1"/>
        <v/>
      </c>
      <c r="L83" s="106" t="str">
        <f>IF($B83=PriceList!$B$163,"",IF(AND($B83=PriceList!$B$155,OR($C83="60x40",C83="60x60",C83="60x80")),"NB! Plywood is happier as drawers if possible.", IF(OR($C83="40x140",C83="40x180",C83="40x200",C83="60x140",C83="60x180",C83="60x200"),"NB! We recommend using MDF Doors for sizes over 120cm","")))</f>
        <v/>
      </c>
      <c r="M83" s="72" t="str">
        <f>IF(OR($C$12=PriceList!$B$134,$C$12=PriceList!$B$139,AND($C$12=PriceList!$B$134,$B83=PriceList!$C$164)),ROUNDUP($F83*$Q83*PriceList!$D$146,0),IF(OR($B83="",$C$14=PriceList!$B$175,$B83=PriceList!$C$164),"",IF($C$12=PriceList!$B$136,ROUNDUP($F83*($R83*PriceList!$E$136+$N83),0),ROUNDUP($F83*($R83*PriceList!$E$135+$N83),0))))</f>
        <v/>
      </c>
      <c r="N83">
        <f>IF(OR($C$12=PriceList!$B$167,$C$14=PriceList!$B$175),0,IF($H83=PriceList!$B$125,PriceList!$D$125,IF($H83=PriceList!$B$126,PriceList!$D$126,0)))</f>
        <v>0</v>
      </c>
      <c r="O83" s="79">
        <f t="shared" si="2"/>
        <v>0</v>
      </c>
      <c r="P83" s="79">
        <f>IF($B83=PriceList!$C$160,($C83+$D83)*0.002*0.03,($C83+$D83)*0.002*0.018)</f>
        <v>0</v>
      </c>
      <c r="Q83" s="79">
        <f t="shared" si="3"/>
        <v>0</v>
      </c>
      <c r="R83" s="79">
        <f t="shared" si="4"/>
        <v>0</v>
      </c>
      <c r="S83" s="79" t="str">
        <f t="shared" si="5"/>
        <v>30mm  Counter Top</v>
      </c>
      <c r="T83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4" spans="1:20" ht="15" customHeight="1" x14ac:dyDescent="0.5">
      <c r="A84" s="203"/>
      <c r="B84" s="94"/>
      <c r="C84" s="146"/>
      <c r="D84" s="146"/>
      <c r="E84" s="27" t="str">
        <f>IF($B84=0,"",IF($C84=PriceList!$B$19,PriceList!$B$190,IF(OR($B84=PriceList!$B$155,$B84=PriceList!$B$156,$B84=PriceList!$B$163,$B84=PriceList!$B$164),"",PriceList!$B$190)))</f>
        <v/>
      </c>
      <c r="F84" s="27"/>
      <c r="G84" s="168" t="str">
        <f>IF($D84="","",IF($B84=PriceList!$B$163,ROUNDUP((VLOOKUP($T$52,PriceLookup,2,FALSE))*(ROUNDUP($D84*$C84/1000000,2)),0),IF($B84=PriceList!$C$160,ROUNDUP((VLOOKUP($S$52,PriceLookup,2,FALSE))*(ROUNDUP($D84*$C84/1000000,2)),0),ROUNDUP((VLOOKUP($C$12,PriceLookup,2,FALSE))*(ROUNDUP($D84*$C84/1000000,2)),0))))</f>
        <v/>
      </c>
      <c r="H84" s="27" t="str">
        <f>IF($B84=0,"",IF(OR($B84=PriceList!$B$156,$B84=PriceList!$B$157,$B84=PriceList!$B$161),PriceList!$B$128,IF(OR($C$15="",$C$15=PriceList!$B$124),PriceList!$B$129,IF(OR($B84=PriceList!$B$154,$B84=PriceList!$B$155,$B84=PriceList!$B$163,$B84=PriceList!$B$164),$C$15,PriceList!$B$129))))</f>
        <v/>
      </c>
      <c r="I84" s="27" t="str">
        <f>IF($B84="","",IF(OR($H84=PriceList!$B$129,$H84=PriceList!$B$128),PriceList!$B$179,IF(OR($B84=PriceList!$B$154,$E84=PriceList!$B$193,$C84=PriceList!$B$5),PriceList!$B$180,IF(AND(OR($B84=PriceList!$B$163,$B84=PriceList!$B$164,ISNUMBER(SEARCH("180",$C84)),ISNUMBER(SEARCH("140",$C84)),ISNUMBER(SEARCH("200",$C84))),$E84=PriceList!$B$191),PriceList!$B$186,IF(AND(OR($B84=PriceList!$B$163,$B84=PriceList!$B$164,ISNUMBER(SEARCH("180",$C84)),ISNUMBER(SEARCH("140",$C84)),ISNUMBER(SEARCH("200",$C84))),$E84=PriceList!$B$192),PriceList!$B$185,IF(AND($B84=PriceList!$B$155,$E84=PriceList!$B$191),PriceList!$B$182,IF(AND(B84=PriceList!$B$155,E84=PriceList!$B$192),PriceList!$B$181,IF(AND($B84=PriceList!$B$156,$E84=PriceList!$B$191),PriceList!$B$184,IF(AND(B84=PriceList!$B$156,E84=PriceList!$B$192),PriceList!$B$183,IF(AND($B84=PriceList!$B$157,$H84&lt;&gt;PriceList!$B$128),PriceList!$B$180,PriceList!$B$179))))))))))</f>
        <v/>
      </c>
      <c r="J84" s="95" t="str">
        <f>IF($H84="","",VLOOKUP($H84,HandleLookup[],2,FALSE))</f>
        <v/>
      </c>
      <c r="K84" s="95" t="str">
        <f t="shared" si="1"/>
        <v/>
      </c>
      <c r="L84" s="106" t="str">
        <f>IF($B84=PriceList!$B$163,"",IF(AND($B84=PriceList!$B$155,OR($C84="60x40",C84="60x60",C84="60x80")),"NB! Plywood is happier as drawers if possible.", IF(OR($C84="40x140",C84="40x180",C84="40x200",C84="60x140",C84="60x180",C84="60x200"),"NB! We recommend using MDF Doors for sizes over 120cm","")))</f>
        <v/>
      </c>
      <c r="M84" s="72" t="str">
        <f>IF(OR($C$12=PriceList!$B$134,$C$12=PriceList!$B$139,AND($C$12=PriceList!$B$134,$B84=PriceList!$C$164)),ROUNDUP($F84*$Q84*PriceList!$D$146,0),IF(OR($B84="",$C$14=PriceList!$B$175,$B84=PriceList!$C$164),"",IF($C$12=PriceList!$B$136,ROUNDUP($F84*($R84*PriceList!$E$136+$N84),0),ROUNDUP($F84*($R84*PriceList!$E$135+$N84),0))))</f>
        <v/>
      </c>
      <c r="N84">
        <f>IF(OR($C$12=PriceList!$B$167,$C$14=PriceList!$B$175),0,IF($H84=PriceList!$B$125,PriceList!$D$125,IF($H84=PriceList!$B$126,PriceList!$D$126,0)))</f>
        <v>0</v>
      </c>
      <c r="O84" s="79">
        <f t="shared" si="2"/>
        <v>0</v>
      </c>
      <c r="P84" s="79">
        <f>IF($B84=PriceList!$C$160,($C84+$D84)*0.002*0.03,($C84+$D84)*0.002*0.018)</f>
        <v>0</v>
      </c>
      <c r="Q84" s="79">
        <f t="shared" si="3"/>
        <v>0</v>
      </c>
      <c r="R84" s="79">
        <f t="shared" si="4"/>
        <v>0</v>
      </c>
      <c r="S84" s="79" t="str">
        <f t="shared" si="5"/>
        <v>30mm  Counter Top</v>
      </c>
      <c r="T84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5" spans="1:20" ht="15" customHeight="1" x14ac:dyDescent="0.5">
      <c r="A85" s="203"/>
      <c r="B85" s="94"/>
      <c r="C85" s="146"/>
      <c r="D85" s="146"/>
      <c r="E85" s="27" t="str">
        <f>IF($B85=0,"",IF($C85=PriceList!$B$19,PriceList!$B$190,IF(OR($B85=PriceList!$B$155,$B85=PriceList!$B$156,$B85=PriceList!$B$163,$B85=PriceList!$B$164),"",PriceList!$B$190)))</f>
        <v/>
      </c>
      <c r="F85" s="27"/>
      <c r="G85" s="168" t="str">
        <f>IF($D85="","",IF($B85=PriceList!$B$163,ROUNDUP((VLOOKUP($T$52,PriceLookup,2,FALSE))*(ROUNDUP($D85*$C85/1000000,2)),0),IF($B85=PriceList!$C$160,ROUNDUP((VLOOKUP($S$52,PriceLookup,2,FALSE))*(ROUNDUP($D85*$C85/1000000,2)),0),ROUNDUP((VLOOKUP($C$12,PriceLookup,2,FALSE))*(ROUNDUP($D85*$C85/1000000,2)),0))))</f>
        <v/>
      </c>
      <c r="H85" s="27" t="str">
        <f>IF($B85=0,"",IF(OR($B85=PriceList!$B$156,$B85=PriceList!$B$157,$B85=PriceList!$B$161),PriceList!$B$128,IF(OR($C$15="",$C$15=PriceList!$B$124),PriceList!$B$129,IF(OR($B85=PriceList!$B$154,$B85=PriceList!$B$155,$B85=PriceList!$B$163,$B85=PriceList!$B$164),$C$15,PriceList!$B$129))))</f>
        <v/>
      </c>
      <c r="I85" s="27" t="str">
        <f>IF($B85="","",IF(OR($H85=PriceList!$B$129,$H85=PriceList!$B$128),PriceList!$B$179,IF(OR($B85=PriceList!$B$154,$E85=PriceList!$B$193,$C85=PriceList!$B$5),PriceList!$B$180,IF(AND(OR($B85=PriceList!$B$163,$B85=PriceList!$B$164,ISNUMBER(SEARCH("180",$C85)),ISNUMBER(SEARCH("140",$C85)),ISNUMBER(SEARCH("200",$C85))),$E85=PriceList!$B$191),PriceList!$B$186,IF(AND(OR($B85=PriceList!$B$163,$B85=PriceList!$B$164,ISNUMBER(SEARCH("180",$C85)),ISNUMBER(SEARCH("140",$C85)),ISNUMBER(SEARCH("200",$C85))),$E85=PriceList!$B$192),PriceList!$B$185,IF(AND($B85=PriceList!$B$155,$E85=PriceList!$B$191),PriceList!$B$182,IF(AND(B85=PriceList!$B$155,E85=PriceList!$B$192),PriceList!$B$181,IF(AND($B85=PriceList!$B$156,$E85=PriceList!$B$191),PriceList!$B$184,IF(AND(B85=PriceList!$B$156,E85=PriceList!$B$192),PriceList!$B$183,IF(AND($B85=PriceList!$B$157,$H85&lt;&gt;PriceList!$B$128),PriceList!$B$180,PriceList!$B$179))))))))))</f>
        <v/>
      </c>
      <c r="J85" s="95" t="str">
        <f>IF($H85="","",VLOOKUP($H85,HandleLookup[],2,FALSE))</f>
        <v/>
      </c>
      <c r="K85" s="95" t="str">
        <f t="shared" ref="K85:K101" si="6">IF(OR($F85="",$G85=""),"",SUM(F85*G85+F85*J85))</f>
        <v/>
      </c>
      <c r="L85" s="106" t="str">
        <f>IF($B85=PriceList!$B$163,"",IF(AND($B85=PriceList!$B$155,OR($C85="60x40",C85="60x60",C85="60x80")),"NB! Plywood is happier as drawers if possible.", IF(OR($C85="40x140",C85="40x180",C85="40x200",C85="60x140",C85="60x180",C85="60x200"),"NB! We recommend using MDF Doors for sizes over 120cm","")))</f>
        <v/>
      </c>
      <c r="M85" s="72" t="str">
        <f>IF(OR($C$12=PriceList!$B$134,$C$12=PriceList!$B$139,AND($C$12=PriceList!$B$134,$B85=PriceList!$C$164)),ROUNDUP($F85*$Q85*PriceList!$D$146,0),IF(OR($B85="",$C$14=PriceList!$B$175,$B85=PriceList!$C$164),"",IF($C$12=PriceList!$B$136,ROUNDUP($F85*($R85*PriceList!$E$136+$N85),0),ROUNDUP($F85*($R85*PriceList!$E$135+$N85),0))))</f>
        <v/>
      </c>
      <c r="N85">
        <f>IF(OR($C$12=PriceList!$B$167,$C$14=PriceList!$B$175),0,IF($H85=PriceList!$B$125,PriceList!$D$125,IF($H85=PriceList!$B$126,PriceList!$D$126,0)))</f>
        <v>0</v>
      </c>
      <c r="O85" s="79">
        <f t="shared" si="2"/>
        <v>0</v>
      </c>
      <c r="P85" s="79">
        <f>IF($B85=PriceList!$C$160,($C85+$D85)*0.002*0.03,($C85+$D85)*0.002*0.018)</f>
        <v>0</v>
      </c>
      <c r="Q85" s="79">
        <f t="shared" si="3"/>
        <v>0</v>
      </c>
      <c r="R85" s="79">
        <f t="shared" si="4"/>
        <v>0</v>
      </c>
      <c r="S85" s="79" t="str">
        <f t="shared" si="5"/>
        <v>30mm  Counter Top</v>
      </c>
      <c r="T85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6" spans="1:20" ht="15" customHeight="1" x14ac:dyDescent="0.5">
      <c r="A86" s="203"/>
      <c r="B86" s="94"/>
      <c r="C86" s="146"/>
      <c r="D86" s="146"/>
      <c r="E86" s="27" t="str">
        <f>IF($B86=0,"",IF($C86=PriceList!$B$19,PriceList!$B$190,IF(OR($B86=PriceList!$B$155,$B86=PriceList!$B$156,$B86=PriceList!$B$163,$B86=PriceList!$B$164),"",PriceList!$B$190)))</f>
        <v/>
      </c>
      <c r="F86" s="27"/>
      <c r="G86" s="168" t="str">
        <f>IF($D86="","",IF($B86=PriceList!$B$163,ROUNDUP((VLOOKUP($T$52,PriceLookup,2,FALSE))*(ROUNDUP($D86*$C86/1000000,2)),0),IF($B86=PriceList!$C$160,ROUNDUP((VLOOKUP($S$52,PriceLookup,2,FALSE))*(ROUNDUP($D86*$C86/1000000,2)),0),ROUNDUP((VLOOKUP($C$12,PriceLookup,2,FALSE))*(ROUNDUP($D86*$C86/1000000,2)),0))))</f>
        <v/>
      </c>
      <c r="H86" s="27" t="str">
        <f>IF($B86=0,"",IF(OR($B86=PriceList!$B$156,$B86=PriceList!$B$157,$B86=PriceList!$B$161),PriceList!$B$128,IF(OR($C$15="",$C$15=PriceList!$B$124),PriceList!$B$129,IF(OR($B86=PriceList!$B$154,$B86=PriceList!$B$155,$B86=PriceList!$B$163,$B86=PriceList!$B$164),$C$15,PriceList!$B$129))))</f>
        <v/>
      </c>
      <c r="I86" s="27" t="str">
        <f>IF($B86="","",IF(OR($H86=PriceList!$B$129,$H86=PriceList!$B$128),PriceList!$B$179,IF(OR($B86=PriceList!$B$154,$E86=PriceList!$B$193,$C86=PriceList!$B$5),PriceList!$B$180,IF(AND(OR($B86=PriceList!$B$163,$B86=PriceList!$B$164,ISNUMBER(SEARCH("180",$C86)),ISNUMBER(SEARCH("140",$C86)),ISNUMBER(SEARCH("200",$C86))),$E86=PriceList!$B$191),PriceList!$B$186,IF(AND(OR($B86=PriceList!$B$163,$B86=PriceList!$B$164,ISNUMBER(SEARCH("180",$C86)),ISNUMBER(SEARCH("140",$C86)),ISNUMBER(SEARCH("200",$C86))),$E86=PriceList!$B$192),PriceList!$B$185,IF(AND($B86=PriceList!$B$155,$E86=PriceList!$B$191),PriceList!$B$182,IF(AND(B86=PriceList!$B$155,E86=PriceList!$B$192),PriceList!$B$181,IF(AND($B86=PriceList!$B$156,$E86=PriceList!$B$191),PriceList!$B$184,IF(AND(B86=PriceList!$B$156,E86=PriceList!$B$192),PriceList!$B$183,IF(AND($B86=PriceList!$B$157,$H86&lt;&gt;PriceList!$B$128),PriceList!$B$180,PriceList!$B$179))))))))))</f>
        <v/>
      </c>
      <c r="J86" s="95" t="str">
        <f>IF($H86="","",VLOOKUP($H86,HandleLookup[],2,FALSE))</f>
        <v/>
      </c>
      <c r="K86" s="95" t="str">
        <f t="shared" si="6"/>
        <v/>
      </c>
      <c r="L86" s="106" t="str">
        <f>IF($B86=PriceList!$B$163,"",IF(AND($B86=PriceList!$B$155,OR($C86="60x40",C86="60x60",C86="60x80")),"NB! Plywood is happier as drawers if possible.", IF(OR($C86="40x140",C86="40x180",C86="40x200",C86="60x140",C86="60x180",C86="60x200"),"NB! We recommend using MDF Doors for sizes over 120cm","")))</f>
        <v/>
      </c>
      <c r="M86" s="72" t="str">
        <f>IF(OR($C$12=PriceList!$B$134,$C$12=PriceList!$B$139,AND($C$12=PriceList!$B$134,$B86=PriceList!$C$164)),ROUNDUP($F86*$Q86*PriceList!$D$146,0),IF(OR($B86="",$C$14=PriceList!$B$175,$B86=PriceList!$C$164),"",IF($C$12=PriceList!$B$136,ROUNDUP($F86*($R86*PriceList!$E$136+$N86),0),ROUNDUP($F86*($R86*PriceList!$E$135+$N86),0))))</f>
        <v/>
      </c>
      <c r="N86">
        <f>IF(OR($C$12=PriceList!$B$167,$C$14=PriceList!$B$175),0,IF($H86=PriceList!$B$125,PriceList!$D$125,IF($H86=PriceList!$B$126,PriceList!$D$126,0)))</f>
        <v>0</v>
      </c>
      <c r="O86" s="79">
        <f t="shared" si="2"/>
        <v>0</v>
      </c>
      <c r="P86" s="79">
        <f>IF($B86=PriceList!$C$160,($C86+$D86)*0.002*0.03,($C86+$D86)*0.002*0.018)</f>
        <v>0</v>
      </c>
      <c r="Q86" s="79">
        <f t="shared" si="3"/>
        <v>0</v>
      </c>
      <c r="R86" s="79">
        <f t="shared" si="4"/>
        <v>0</v>
      </c>
      <c r="S86" s="79" t="str">
        <f t="shared" si="5"/>
        <v>30mm  Counter Top</v>
      </c>
      <c r="T86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7" spans="1:20" ht="15" customHeight="1" x14ac:dyDescent="0.5">
      <c r="A87" s="203"/>
      <c r="B87" s="94"/>
      <c r="C87" s="146"/>
      <c r="D87" s="146"/>
      <c r="E87" s="27" t="str">
        <f>IF($B87=0,"",IF($C87=PriceList!$B$19,PriceList!$B$190,IF(OR($B87=PriceList!$B$155,$B87=PriceList!$B$156,$B87=PriceList!$B$163,$B87=PriceList!$B$164),"",PriceList!$B$190)))</f>
        <v/>
      </c>
      <c r="F87" s="27"/>
      <c r="G87" s="168" t="str">
        <f>IF($D87="","",IF($B87=PriceList!$B$163,ROUNDUP((VLOOKUP($T$52,PriceLookup,2,FALSE))*(ROUNDUP($D87*$C87/1000000,2)),0),IF($B87=PriceList!$C$160,ROUNDUP((VLOOKUP($S$52,PriceLookup,2,FALSE))*(ROUNDUP($D87*$C87/1000000,2)),0),ROUNDUP((VLOOKUP($C$12,PriceLookup,2,FALSE))*(ROUNDUP($D87*$C87/1000000,2)),0))))</f>
        <v/>
      </c>
      <c r="H87" s="27" t="str">
        <f>IF($B87=0,"",IF(OR($B87=PriceList!$B$156,$B87=PriceList!$B$157,$B87=PriceList!$B$161),PriceList!$B$128,IF(OR($C$15="",$C$15=PriceList!$B$124),PriceList!$B$129,IF(OR($B87=PriceList!$B$154,$B87=PriceList!$B$155,$B87=PriceList!$B$163,$B87=PriceList!$B$164),$C$15,PriceList!$B$129))))</f>
        <v/>
      </c>
      <c r="I87" s="27" t="str">
        <f>IF($B87="","",IF(OR($H87=PriceList!$B$129,$H87=PriceList!$B$128),PriceList!$B$179,IF(OR($B87=PriceList!$B$154,$E87=PriceList!$B$193,$C87=PriceList!$B$5),PriceList!$B$180,IF(AND(OR($B87=PriceList!$B$163,$B87=PriceList!$B$164,ISNUMBER(SEARCH("180",$C87)),ISNUMBER(SEARCH("140",$C87)),ISNUMBER(SEARCH("200",$C87))),$E87=PriceList!$B$191),PriceList!$B$186,IF(AND(OR($B87=PriceList!$B$163,$B87=PriceList!$B$164,ISNUMBER(SEARCH("180",$C87)),ISNUMBER(SEARCH("140",$C87)),ISNUMBER(SEARCH("200",$C87))),$E87=PriceList!$B$192),PriceList!$B$185,IF(AND($B87=PriceList!$B$155,$E87=PriceList!$B$191),PriceList!$B$182,IF(AND(B87=PriceList!$B$155,E87=PriceList!$B$192),PriceList!$B$181,IF(AND($B87=PriceList!$B$156,$E87=PriceList!$B$191),PriceList!$B$184,IF(AND(B87=PriceList!$B$156,E87=PriceList!$B$192),PriceList!$B$183,IF(AND($B87=PriceList!$B$157,$H87&lt;&gt;PriceList!$B$128),PriceList!$B$180,PriceList!$B$179))))))))))</f>
        <v/>
      </c>
      <c r="J87" s="95" t="str">
        <f>IF($H87="","",VLOOKUP($H87,HandleLookup[],2,FALSE))</f>
        <v/>
      </c>
      <c r="K87" s="95" t="str">
        <f t="shared" si="6"/>
        <v/>
      </c>
      <c r="L87" s="106" t="str">
        <f>IF($B87=PriceList!$B$163,"",IF(AND($B87=PriceList!$B$155,OR($C87="60x40",C87="60x60",C87="60x80")),"NB! Plywood is happier as drawers if possible.", IF(OR($C87="40x140",C87="40x180",C87="40x200",C87="60x140",C87="60x180",C87="60x200"),"NB! We recommend using MDF Doors for sizes over 120cm","")))</f>
        <v/>
      </c>
      <c r="M87" s="72" t="str">
        <f>IF(OR($C$12=PriceList!$B$134,$C$12=PriceList!$B$139,AND($C$12=PriceList!$B$134,$B87=PriceList!$C$164)),ROUNDUP($F87*$Q87*PriceList!$D$146,0),IF(OR($B87="",$C$14=PriceList!$B$175,$B87=PriceList!$C$164),"",IF($C$12=PriceList!$B$136,ROUNDUP($F87*($R87*PriceList!$E$136+$N87),0),ROUNDUP($F87*($R87*PriceList!$E$135+$N87),0))))</f>
        <v/>
      </c>
      <c r="N87">
        <f>IF(OR($C$12=PriceList!$B$167,$C$14=PriceList!$B$175),0,IF($H87=PriceList!$B$125,PriceList!$D$125,IF($H87=PriceList!$B$126,PriceList!$D$126,0)))</f>
        <v>0</v>
      </c>
      <c r="O87" s="79">
        <f t="shared" si="2"/>
        <v>0</v>
      </c>
      <c r="P87" s="79">
        <f>IF($B87=PriceList!$C$160,($C87+$D87)*0.002*0.03,($C87+$D87)*0.002*0.018)</f>
        <v>0</v>
      </c>
      <c r="Q87" s="79">
        <f t="shared" si="3"/>
        <v>0</v>
      </c>
      <c r="R87" s="79">
        <f t="shared" si="4"/>
        <v>0</v>
      </c>
      <c r="S87" s="79" t="str">
        <f t="shared" si="5"/>
        <v>30mm  Counter Top</v>
      </c>
      <c r="T87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8" spans="1:20" ht="15" customHeight="1" x14ac:dyDescent="0.5">
      <c r="A88" s="203"/>
      <c r="B88" s="94"/>
      <c r="C88" s="146"/>
      <c r="D88" s="146"/>
      <c r="E88" s="27" t="str">
        <f>IF($B88=0,"",IF($C88=PriceList!$B$19,PriceList!$B$190,IF(OR($B88=PriceList!$B$155,$B88=PriceList!$B$156,$B88=PriceList!$B$163,$B88=PriceList!$B$164),"",PriceList!$B$190)))</f>
        <v/>
      </c>
      <c r="F88" s="27"/>
      <c r="G88" s="168" t="str">
        <f>IF($D88="","",IF($B88=PriceList!$B$163,ROUNDUP((VLOOKUP($T$52,PriceLookup,2,FALSE))*(ROUNDUP($D88*$C88/1000000,2)),0),IF($B88=PriceList!$C$160,ROUNDUP((VLOOKUP($S$52,PriceLookup,2,FALSE))*(ROUNDUP($D88*$C88/1000000,2)),0),ROUNDUP((VLOOKUP($C$12,PriceLookup,2,FALSE))*(ROUNDUP($D88*$C88/1000000,2)),0))))</f>
        <v/>
      </c>
      <c r="H88" s="27" t="str">
        <f>IF($B88=0,"",IF(OR($B88=PriceList!$B$156,$B88=PriceList!$B$157,$B88=PriceList!$B$161),PriceList!$B$128,IF(OR($C$15="",$C$15=PriceList!$B$124),PriceList!$B$129,IF(OR($B88=PriceList!$B$154,$B88=PriceList!$B$155,$B88=PriceList!$B$163,$B88=PriceList!$B$164),$C$15,PriceList!$B$129))))</f>
        <v/>
      </c>
      <c r="I88" s="27" t="str">
        <f>IF($B88="","",IF(OR($H88=PriceList!$B$129,$H88=PriceList!$B$128),PriceList!$B$179,IF(OR($B88=PriceList!$B$154,$E88=PriceList!$B$193,$C88=PriceList!$B$5),PriceList!$B$180,IF(AND(OR($B88=PriceList!$B$163,$B88=PriceList!$B$164,ISNUMBER(SEARCH("180",$C88)),ISNUMBER(SEARCH("140",$C88)),ISNUMBER(SEARCH("200",$C88))),$E88=PriceList!$B$191),PriceList!$B$186,IF(AND(OR($B88=PriceList!$B$163,$B88=PriceList!$B$164,ISNUMBER(SEARCH("180",$C88)),ISNUMBER(SEARCH("140",$C88)),ISNUMBER(SEARCH("200",$C88))),$E88=PriceList!$B$192),PriceList!$B$185,IF(AND($B88=PriceList!$B$155,$E88=PriceList!$B$191),PriceList!$B$182,IF(AND(B88=PriceList!$B$155,E88=PriceList!$B$192),PriceList!$B$181,IF(AND($B88=PriceList!$B$156,$E88=PriceList!$B$191),PriceList!$B$184,IF(AND(B88=PriceList!$B$156,E88=PriceList!$B$192),PriceList!$B$183,IF(AND($B88=PriceList!$B$157,$H88&lt;&gt;PriceList!$B$128),PriceList!$B$180,PriceList!$B$179))))))))))</f>
        <v/>
      </c>
      <c r="J88" s="95" t="str">
        <f>IF($H88="","",VLOOKUP($H88,HandleLookup[],2,FALSE))</f>
        <v/>
      </c>
      <c r="K88" s="95" t="str">
        <f t="shared" si="6"/>
        <v/>
      </c>
      <c r="L88" s="106" t="str">
        <f>IF($B88=PriceList!$B$163,"",IF(AND($B88=PriceList!$B$155,OR($C88="60x40",C88="60x60",C88="60x80")),"NB! Plywood is happier as drawers if possible.", IF(OR($C88="40x140",C88="40x180",C88="40x200",C88="60x140",C88="60x180",C88="60x200"),"NB! We recommend using MDF Doors for sizes over 120cm","")))</f>
        <v/>
      </c>
      <c r="M88" s="72" t="str">
        <f>IF(OR($C$12=PriceList!$B$134,$C$12=PriceList!$B$139,AND($C$12=PriceList!$B$134,$B88=PriceList!$C$164)),ROUNDUP($F88*$Q88*PriceList!$D$146,0),IF(OR($B88="",$C$14=PriceList!$B$175,$B88=PriceList!$C$164),"",IF($C$12=PriceList!$B$136,ROUNDUP($F88*($R88*PriceList!$E$136+$N88),0),ROUNDUP($F88*($R88*PriceList!$E$135+$N88),0))))</f>
        <v/>
      </c>
      <c r="N88">
        <f>IF(OR($C$12=PriceList!$B$167,$C$14=PriceList!$B$175),0,IF($H88=PriceList!$B$125,PriceList!$D$125,IF($H88=PriceList!$B$126,PriceList!$D$126,0)))</f>
        <v>0</v>
      </c>
      <c r="O88" s="79">
        <f t="shared" si="2"/>
        <v>0</v>
      </c>
      <c r="P88" s="79">
        <f>IF($B88=PriceList!$C$160,($C88+$D88)*0.002*0.03,($C88+$D88)*0.002*0.018)</f>
        <v>0</v>
      </c>
      <c r="Q88" s="79">
        <f t="shared" si="3"/>
        <v>0</v>
      </c>
      <c r="R88" s="79">
        <f t="shared" si="4"/>
        <v>0</v>
      </c>
      <c r="S88" s="79" t="str">
        <f t="shared" si="5"/>
        <v>30mm  Counter Top</v>
      </c>
      <c r="T88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89" spans="1:20" ht="15" customHeight="1" x14ac:dyDescent="0.5">
      <c r="A89" s="203"/>
      <c r="B89" s="94"/>
      <c r="C89" s="146"/>
      <c r="D89" s="146"/>
      <c r="E89" s="27" t="str">
        <f>IF($B89=0,"",IF($C89=PriceList!$B$19,PriceList!$B$190,IF(OR($B89=PriceList!$B$155,$B89=PriceList!$B$156,$B89=PriceList!$B$163,$B89=PriceList!$B$164),"",PriceList!$B$190)))</f>
        <v/>
      </c>
      <c r="F89" s="27"/>
      <c r="G89" s="168" t="str">
        <f>IF($D89="","",IF($B89=PriceList!$B$163,ROUNDUP((VLOOKUP($T$52,PriceLookup,2,FALSE))*(ROUNDUP($D89*$C89/1000000,2)),0),IF($B89=PriceList!$C$160,ROUNDUP((VLOOKUP($S$52,PriceLookup,2,FALSE))*(ROUNDUP($D89*$C89/1000000,2)),0),ROUNDUP((VLOOKUP($C$12,PriceLookup,2,FALSE))*(ROUNDUP($D89*$C89/1000000,2)),0))))</f>
        <v/>
      </c>
      <c r="H89" s="27" t="str">
        <f>IF($B89=0,"",IF(OR($B89=PriceList!$B$156,$B89=PriceList!$B$157,$B89=PriceList!$B$161),PriceList!$B$128,IF(OR($C$15="",$C$15=PriceList!$B$124),PriceList!$B$129,IF(OR($B89=PriceList!$B$154,$B89=PriceList!$B$155,$B89=PriceList!$B$163,$B89=PriceList!$B$164),$C$15,PriceList!$B$129))))</f>
        <v/>
      </c>
      <c r="I89" s="27" t="str">
        <f>IF($B89="","",IF(OR($H89=PriceList!$B$129,$H89=PriceList!$B$128),PriceList!$B$179,IF(OR($B89=PriceList!$B$154,$E89=PriceList!$B$193,$C89=PriceList!$B$5),PriceList!$B$180,IF(AND(OR($B89=PriceList!$B$163,$B89=PriceList!$B$164,ISNUMBER(SEARCH("180",$C89)),ISNUMBER(SEARCH("140",$C89)),ISNUMBER(SEARCH("200",$C89))),$E89=PriceList!$B$191),PriceList!$B$186,IF(AND(OR($B89=PriceList!$B$163,$B89=PriceList!$B$164,ISNUMBER(SEARCH("180",$C89)),ISNUMBER(SEARCH("140",$C89)),ISNUMBER(SEARCH("200",$C89))),$E89=PriceList!$B$192),PriceList!$B$185,IF(AND($B89=PriceList!$B$155,$E89=PriceList!$B$191),PriceList!$B$182,IF(AND(B89=PriceList!$B$155,E89=PriceList!$B$192),PriceList!$B$181,IF(AND($B89=PriceList!$B$156,$E89=PriceList!$B$191),PriceList!$B$184,IF(AND(B89=PriceList!$B$156,E89=PriceList!$B$192),PriceList!$B$183,IF(AND($B89=PriceList!$B$157,$H89&lt;&gt;PriceList!$B$128),PriceList!$B$180,PriceList!$B$179))))))))))</f>
        <v/>
      </c>
      <c r="J89" s="95" t="str">
        <f>IF($H89="","",VLOOKUP($H89,HandleLookup[],2,FALSE))</f>
        <v/>
      </c>
      <c r="K89" s="95" t="str">
        <f t="shared" si="6"/>
        <v/>
      </c>
      <c r="L89" s="106" t="str">
        <f>IF($B89=PriceList!$B$163,"",IF(AND($B89=PriceList!$B$155,OR($C89="60x40",C89="60x60",C89="60x80")),"NB! Plywood is happier as drawers if possible.", IF(OR($C89="40x140",C89="40x180",C89="40x200",C89="60x140",C89="60x180",C89="60x200"),"NB! We recommend using MDF Doors for sizes over 120cm","")))</f>
        <v/>
      </c>
      <c r="M89" s="72" t="str">
        <f>IF(OR($C$12=PriceList!$B$134,$C$12=PriceList!$B$139,AND($C$12=PriceList!$B$134,$B89=PriceList!$C$164)),ROUNDUP($F89*$Q89*PriceList!$D$146,0),IF(OR($B89="",$C$14=PriceList!$B$175,$B89=PriceList!$C$164),"",IF($C$12=PriceList!$B$136,ROUNDUP($F89*($R89*PriceList!$E$136+$N89),0),ROUNDUP($F89*($R89*PriceList!$E$135+$N89),0))))</f>
        <v/>
      </c>
      <c r="N89">
        <f>IF(OR($C$12=PriceList!$B$167,$C$14=PriceList!$B$175),0,IF($H89=PriceList!$B$125,PriceList!$D$125,IF($H89=PriceList!$B$126,PriceList!$D$126,0)))</f>
        <v>0</v>
      </c>
      <c r="O89" s="79">
        <f t="shared" si="2"/>
        <v>0</v>
      </c>
      <c r="P89" s="79">
        <f>IF($B89=PriceList!$C$160,($C89+$D89)*0.002*0.03,($C89+$D89)*0.002*0.018)</f>
        <v>0</v>
      </c>
      <c r="Q89" s="79">
        <f t="shared" si="3"/>
        <v>0</v>
      </c>
      <c r="R89" s="79">
        <f t="shared" si="4"/>
        <v>0</v>
      </c>
      <c r="S89" s="79" t="str">
        <f t="shared" si="5"/>
        <v>30mm  Counter Top</v>
      </c>
      <c r="T89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0" spans="1:20" ht="15" customHeight="1" x14ac:dyDescent="0.5">
      <c r="A90" s="203"/>
      <c r="B90" s="94"/>
      <c r="C90" s="146"/>
      <c r="D90" s="146"/>
      <c r="E90" s="27" t="str">
        <f>IF($B90=0,"",IF($C90=PriceList!$B$19,PriceList!$B$190,IF(OR($B90=PriceList!$B$155,$B90=PriceList!$B$156,$B90=PriceList!$B$163,$B90=PriceList!$B$164),"",PriceList!$B$190)))</f>
        <v/>
      </c>
      <c r="F90" s="27"/>
      <c r="G90" s="168" t="str">
        <f>IF($D90="","",IF($B90=PriceList!$B$163,ROUNDUP((VLOOKUP($T$52,PriceLookup,2,FALSE))*(ROUNDUP($D90*$C90/1000000,2)),0),IF($B90=PriceList!$C$160,ROUNDUP((VLOOKUP($S$52,PriceLookup,2,FALSE))*(ROUNDUP($D90*$C90/1000000,2)),0),ROUNDUP((VLOOKUP($C$12,PriceLookup,2,FALSE))*(ROUNDUP($D90*$C90/1000000,2)),0))))</f>
        <v/>
      </c>
      <c r="H90" s="27" t="str">
        <f>IF($B90=0,"",IF(OR($B90=PriceList!$B$156,$B90=PriceList!$B$157,$B90=PriceList!$B$161),PriceList!$B$128,IF(OR($C$15="",$C$15=PriceList!$B$124),PriceList!$B$129,IF(OR($B90=PriceList!$B$154,$B90=PriceList!$B$155,$B90=PriceList!$B$163,$B90=PriceList!$B$164),$C$15,PriceList!$B$129))))</f>
        <v/>
      </c>
      <c r="I90" s="27" t="str">
        <f>IF($B90="","",IF(OR($H90=PriceList!$B$129,$H90=PriceList!$B$128),PriceList!$B$179,IF(OR($B90=PriceList!$B$154,$E90=PriceList!$B$193,$C90=PriceList!$B$5),PriceList!$B$180,IF(AND(OR($B90=PriceList!$B$163,$B90=PriceList!$B$164,ISNUMBER(SEARCH("180",$C90)),ISNUMBER(SEARCH("140",$C90)),ISNUMBER(SEARCH("200",$C90))),$E90=PriceList!$B$191),PriceList!$B$186,IF(AND(OR($B90=PriceList!$B$163,$B90=PriceList!$B$164,ISNUMBER(SEARCH("180",$C90)),ISNUMBER(SEARCH("140",$C90)),ISNUMBER(SEARCH("200",$C90))),$E90=PriceList!$B$192),PriceList!$B$185,IF(AND($B90=PriceList!$B$155,$E90=PriceList!$B$191),PriceList!$B$182,IF(AND(B90=PriceList!$B$155,E90=PriceList!$B$192),PriceList!$B$181,IF(AND($B90=PriceList!$B$156,$E90=PriceList!$B$191),PriceList!$B$184,IF(AND(B90=PriceList!$B$156,E90=PriceList!$B$192),PriceList!$B$183,IF(AND($B90=PriceList!$B$157,$H90&lt;&gt;PriceList!$B$128),PriceList!$B$180,PriceList!$B$179))))))))))</f>
        <v/>
      </c>
      <c r="J90" s="95" t="str">
        <f>IF($H90="","",VLOOKUP($H90,HandleLookup[],2,FALSE))</f>
        <v/>
      </c>
      <c r="K90" s="95" t="str">
        <f t="shared" si="6"/>
        <v/>
      </c>
      <c r="L90" s="106" t="str">
        <f>IF($B90=PriceList!$B$163,"",IF(AND($B90=PriceList!$B$155,OR($C90="60x40",C90="60x60",C90="60x80")),"NB! Plywood is happier as drawers if possible.", IF(OR($C90="40x140",C90="40x180",C90="40x200",C90="60x140",C90="60x180",C90="60x200"),"NB! We recommend using MDF Doors for sizes over 120cm","")))</f>
        <v/>
      </c>
      <c r="M90" s="72" t="str">
        <f>IF(OR($C$12=PriceList!$B$134,$C$12=PriceList!$B$139,AND($C$12=PriceList!$B$134,$B90=PriceList!$C$164)),ROUNDUP($F90*$Q90*PriceList!$D$146,0),IF(OR($B90="",$C$14=PriceList!$B$175,$B90=PriceList!$C$164),"",IF($C$12=PriceList!$B$136,ROUNDUP($F90*($R90*PriceList!$E$136+$N90),0),ROUNDUP($F90*($R90*PriceList!$E$135+$N90),0))))</f>
        <v/>
      </c>
      <c r="N90">
        <f>IF(OR($C$12=PriceList!$B$167,$C$14=PriceList!$B$175),0,IF($H90=PriceList!$B$125,PriceList!$D$125,IF($H90=PriceList!$B$126,PriceList!$D$126,0)))</f>
        <v>0</v>
      </c>
      <c r="O90" s="79">
        <f t="shared" si="2"/>
        <v>0</v>
      </c>
      <c r="P90" s="79">
        <f>IF($B90=PriceList!$C$160,($C90+$D90)*0.002*0.03,($C90+$D90)*0.002*0.018)</f>
        <v>0</v>
      </c>
      <c r="Q90" s="79">
        <f t="shared" si="3"/>
        <v>0</v>
      </c>
      <c r="R90" s="79">
        <f t="shared" si="4"/>
        <v>0</v>
      </c>
      <c r="S90" s="79" t="str">
        <f t="shared" si="5"/>
        <v>30mm  Counter Top</v>
      </c>
      <c r="T90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1" spans="1:20" ht="15" customHeight="1" x14ac:dyDescent="0.5">
      <c r="A91" s="203"/>
      <c r="B91" s="94"/>
      <c r="C91" s="146"/>
      <c r="D91" s="146"/>
      <c r="E91" s="27" t="str">
        <f>IF($B91=0,"",IF($C91=PriceList!$B$19,PriceList!$B$190,IF(OR($B91=PriceList!$B$155,$B91=PriceList!$B$156,$B91=PriceList!$B$163,$B91=PriceList!$B$164),"",PriceList!$B$190)))</f>
        <v/>
      </c>
      <c r="F91" s="27"/>
      <c r="G91" s="168" t="str">
        <f>IF($D91="","",IF($B91=PriceList!$B$163,ROUNDUP((VLOOKUP($T$52,PriceLookup,2,FALSE))*(ROUNDUP($D91*$C91/1000000,2)),0),IF($B91=PriceList!$C$160,ROUNDUP((VLOOKUP($S$52,PriceLookup,2,FALSE))*(ROUNDUP($D91*$C91/1000000,2)),0),ROUNDUP((VLOOKUP($C$12,PriceLookup,2,FALSE))*(ROUNDUP($D91*$C91/1000000,2)),0))))</f>
        <v/>
      </c>
      <c r="H91" s="27" t="str">
        <f>IF($B91=0,"",IF(OR($B91=PriceList!$B$156,$B91=PriceList!$B$157,$B91=PriceList!$B$161),PriceList!$B$128,IF(OR($C$15="",$C$15=PriceList!$B$124),PriceList!$B$129,IF(OR($B91=PriceList!$B$154,$B91=PriceList!$B$155,$B91=PriceList!$B$163,$B91=PriceList!$B$164),$C$15,PriceList!$B$129))))</f>
        <v/>
      </c>
      <c r="I91" s="27" t="str">
        <f>IF($B91="","",IF(OR($H91=PriceList!$B$129,$H91=PriceList!$B$128),PriceList!$B$179,IF(OR($B91=PriceList!$B$154,$E91=PriceList!$B$193,$C91=PriceList!$B$5),PriceList!$B$180,IF(AND(OR($B91=PriceList!$B$163,$B91=PriceList!$B$164,ISNUMBER(SEARCH("180",$C91)),ISNUMBER(SEARCH("140",$C91)),ISNUMBER(SEARCH("200",$C91))),$E91=PriceList!$B$191),PriceList!$B$186,IF(AND(OR($B91=PriceList!$B$163,$B91=PriceList!$B$164,ISNUMBER(SEARCH("180",$C91)),ISNUMBER(SEARCH("140",$C91)),ISNUMBER(SEARCH("200",$C91))),$E91=PriceList!$B$192),PriceList!$B$185,IF(AND($B91=PriceList!$B$155,$E91=PriceList!$B$191),PriceList!$B$182,IF(AND(B91=PriceList!$B$155,E91=PriceList!$B$192),PriceList!$B$181,IF(AND($B91=PriceList!$B$156,$E91=PriceList!$B$191),PriceList!$B$184,IF(AND(B91=PriceList!$B$156,E91=PriceList!$B$192),PriceList!$B$183,IF(AND($B91=PriceList!$B$157,$H91&lt;&gt;PriceList!$B$128),PriceList!$B$180,PriceList!$B$179))))))))))</f>
        <v/>
      </c>
      <c r="J91" s="95" t="str">
        <f>IF($H91="","",VLOOKUP($H91,HandleLookup[],2,FALSE))</f>
        <v/>
      </c>
      <c r="K91" s="95" t="str">
        <f t="shared" si="6"/>
        <v/>
      </c>
      <c r="L91" s="106" t="str">
        <f>IF($B91=PriceList!$B$163,"",IF(AND($B91=PriceList!$B$155,OR($C91="60x40",C91="60x60",C91="60x80")),"NB! Plywood is happier as drawers if possible.", IF(OR($C91="40x140",C91="40x180",C91="40x200",C91="60x140",C91="60x180",C91="60x200"),"NB! We recommend using MDF Doors for sizes over 120cm","")))</f>
        <v/>
      </c>
      <c r="M91" s="72" t="str">
        <f>IF(OR($C$12=PriceList!$B$134,$C$12=PriceList!$B$139,AND($C$12=PriceList!$B$134,$B91=PriceList!$C$164)),ROUNDUP($F91*$Q91*PriceList!$D$146,0),IF(OR($B91="",$C$14=PriceList!$B$175,$B91=PriceList!$C$164),"",IF($C$12=PriceList!$B$136,ROUNDUP($F91*($R91*PriceList!$E$136+$N91),0),ROUNDUP($F91*($R91*PriceList!$E$135+$N91),0))))</f>
        <v/>
      </c>
      <c r="N91">
        <f>IF(OR($C$12=PriceList!$B$167,$C$14=PriceList!$B$175),0,IF($H91=PriceList!$B$125,PriceList!$D$125,IF($H91=PriceList!$B$126,PriceList!$D$126,0)))</f>
        <v>0</v>
      </c>
      <c r="O91" s="79">
        <f t="shared" si="2"/>
        <v>0</v>
      </c>
      <c r="P91" s="79">
        <f>IF($B91=PriceList!$C$160,($C91+$D91)*0.002*0.03,($C91+$D91)*0.002*0.018)</f>
        <v>0</v>
      </c>
      <c r="Q91" s="79">
        <f t="shared" si="3"/>
        <v>0</v>
      </c>
      <c r="R91" s="79">
        <f t="shared" si="4"/>
        <v>0</v>
      </c>
      <c r="S91" s="79" t="str">
        <f t="shared" si="5"/>
        <v>30mm  Counter Top</v>
      </c>
      <c r="T91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2" spans="1:20" ht="15" customHeight="1" x14ac:dyDescent="0.5">
      <c r="A92" s="203"/>
      <c r="B92" s="94"/>
      <c r="C92" s="146"/>
      <c r="D92" s="146"/>
      <c r="E92" s="27" t="str">
        <f>IF($B92=0,"",IF($C92=PriceList!$B$19,PriceList!$B$190,IF(OR($B92=PriceList!$B$155,$B92=PriceList!$B$156,$B92=PriceList!$B$163,$B92=PriceList!$B$164),"",PriceList!$B$190)))</f>
        <v/>
      </c>
      <c r="F92" s="27"/>
      <c r="G92" s="168" t="str">
        <f>IF($D92="","",IF($B92=PriceList!$B$163,ROUNDUP((VLOOKUP($T$52,PriceLookup,2,FALSE))*(ROUNDUP($D92*$C92/1000000,2)),0),IF($B92=PriceList!$C$160,ROUNDUP((VLOOKUP($S$52,PriceLookup,2,FALSE))*(ROUNDUP($D92*$C92/1000000,2)),0),ROUNDUP((VLOOKUP($C$12,PriceLookup,2,FALSE))*(ROUNDUP($D92*$C92/1000000,2)),0))))</f>
        <v/>
      </c>
      <c r="H92" s="27" t="str">
        <f>IF($B92=0,"",IF(OR($B92=PriceList!$B$156,$B92=PriceList!$B$157,$B92=PriceList!$B$161),PriceList!$B$128,IF(OR($C$15="",$C$15=PriceList!$B$124),PriceList!$B$129,IF(OR($B92=PriceList!$B$154,$B92=PriceList!$B$155,$B92=PriceList!$B$163,$B92=PriceList!$B$164),$C$15,PriceList!$B$129))))</f>
        <v/>
      </c>
      <c r="I92" s="27" t="str">
        <f>IF($B92="","",IF(OR($H92=PriceList!$B$129,$H92=PriceList!$B$128),PriceList!$B$179,IF(OR($B92=PriceList!$B$154,$E92=PriceList!$B$193,$C92=PriceList!$B$5),PriceList!$B$180,IF(AND(OR($B92=PriceList!$B$163,$B92=PriceList!$B$164,ISNUMBER(SEARCH("180",$C92)),ISNUMBER(SEARCH("140",$C92)),ISNUMBER(SEARCH("200",$C92))),$E92=PriceList!$B$191),PriceList!$B$186,IF(AND(OR($B92=PriceList!$B$163,$B92=PriceList!$B$164,ISNUMBER(SEARCH("180",$C92)),ISNUMBER(SEARCH("140",$C92)),ISNUMBER(SEARCH("200",$C92))),$E92=PriceList!$B$192),PriceList!$B$185,IF(AND($B92=PriceList!$B$155,$E92=PriceList!$B$191),PriceList!$B$182,IF(AND(B92=PriceList!$B$155,E92=PriceList!$B$192),PriceList!$B$181,IF(AND($B92=PriceList!$B$156,$E92=PriceList!$B$191),PriceList!$B$184,IF(AND(B92=PriceList!$B$156,E92=PriceList!$B$192),PriceList!$B$183,IF(AND($B92=PriceList!$B$157,$H92&lt;&gt;PriceList!$B$128),PriceList!$B$180,PriceList!$B$179))))))))))</f>
        <v/>
      </c>
      <c r="J92" s="95" t="str">
        <f>IF($H92="","",VLOOKUP($H92,HandleLookup[],2,FALSE))</f>
        <v/>
      </c>
      <c r="K92" s="95" t="str">
        <f t="shared" si="6"/>
        <v/>
      </c>
      <c r="L92" s="106" t="str">
        <f>IF($B92=PriceList!$B$163,"",IF(AND($B92=PriceList!$B$155,OR($C92="60x40",C92="60x60",C92="60x80")),"NB! Plywood is happier as drawers if possible.", IF(OR($C92="40x140",C92="40x180",C92="40x200",C92="60x140",C92="60x180",C92="60x200"),"NB! We recommend using MDF Doors for sizes over 120cm","")))</f>
        <v/>
      </c>
      <c r="M92" s="72" t="str">
        <f>IF(OR($C$12=PriceList!$B$134,$C$12=PriceList!$B$139,AND($C$12=PriceList!$B$134,$B92=PriceList!$C$164)),ROUNDUP($F92*$Q92*PriceList!$D$146,0),IF(OR($B92="",$C$14=PriceList!$B$175,$B92=PriceList!$C$164),"",IF($C$12=PriceList!$B$136,ROUNDUP($F92*($R92*PriceList!$E$136+$N92),0),ROUNDUP($F92*($R92*PriceList!$E$135+$N92),0))))</f>
        <v/>
      </c>
      <c r="N92">
        <f>IF(OR($C$12=PriceList!$B$167,$C$14=PriceList!$B$175),0,IF($H92=PriceList!$B$125,PriceList!$D$125,IF($H92=PriceList!$B$126,PriceList!$D$126,0)))</f>
        <v>0</v>
      </c>
      <c r="O92" s="79">
        <f t="shared" si="2"/>
        <v>0</v>
      </c>
      <c r="P92" s="79">
        <f>IF($B92=PriceList!$C$160,($C92+$D92)*0.002*0.03,($C92+$D92)*0.002*0.018)</f>
        <v>0</v>
      </c>
      <c r="Q92" s="79">
        <f t="shared" si="3"/>
        <v>0</v>
      </c>
      <c r="R92" s="79">
        <f t="shared" si="4"/>
        <v>0</v>
      </c>
      <c r="S92" s="79" t="str">
        <f t="shared" si="5"/>
        <v>30mm  Counter Top</v>
      </c>
      <c r="T92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3" spans="1:20" ht="15" customHeight="1" x14ac:dyDescent="0.5">
      <c r="A93" s="203"/>
      <c r="B93" s="94"/>
      <c r="C93" s="146"/>
      <c r="D93" s="146"/>
      <c r="E93" s="27" t="str">
        <f>IF($B93=0,"",IF($C93=PriceList!$B$19,PriceList!$B$190,IF(OR($B93=PriceList!$B$155,$B93=PriceList!$B$156,$B93=PriceList!$B$163,$B93=PriceList!$B$164),"",PriceList!$B$190)))</f>
        <v/>
      </c>
      <c r="F93" s="27"/>
      <c r="G93" s="168" t="str">
        <f>IF($D93="","",IF($B93=PriceList!$B$163,ROUNDUP((VLOOKUP($T$52,PriceLookup,2,FALSE))*(ROUNDUP($D93*$C93/1000000,2)),0),IF($B93=PriceList!$C$160,ROUNDUP((VLOOKUP($S$52,PriceLookup,2,FALSE))*(ROUNDUP($D93*$C93/1000000,2)),0),ROUNDUP((VLOOKUP($C$12,PriceLookup,2,FALSE))*(ROUNDUP($D93*$C93/1000000,2)),0))))</f>
        <v/>
      </c>
      <c r="H93" s="27" t="str">
        <f>IF($B93=0,"",IF(OR($B93=PriceList!$B$156,$B93=PriceList!$B$157,$B93=PriceList!$B$161),PriceList!$B$128,IF(OR($C$15="",$C$15=PriceList!$B$124),PriceList!$B$129,IF(OR($B93=PriceList!$B$154,$B93=PriceList!$B$155,$B93=PriceList!$B$163,$B93=PriceList!$B$164),$C$15,PriceList!$B$129))))</f>
        <v/>
      </c>
      <c r="I93" s="27" t="str">
        <f>IF($B93="","",IF(OR($H93=PriceList!$B$129,$H93=PriceList!$B$128),PriceList!$B$179,IF(OR($B93=PriceList!$B$154,$E93=PriceList!$B$193,$C93=PriceList!$B$5),PriceList!$B$180,IF(AND(OR($B93=PriceList!$B$163,$B93=PriceList!$B$164,ISNUMBER(SEARCH("180",$C93)),ISNUMBER(SEARCH("140",$C93)),ISNUMBER(SEARCH("200",$C93))),$E93=PriceList!$B$191),PriceList!$B$186,IF(AND(OR($B93=PriceList!$B$163,$B93=PriceList!$B$164,ISNUMBER(SEARCH("180",$C93)),ISNUMBER(SEARCH("140",$C93)),ISNUMBER(SEARCH("200",$C93))),$E93=PriceList!$B$192),PriceList!$B$185,IF(AND($B93=PriceList!$B$155,$E93=PriceList!$B$191),PriceList!$B$182,IF(AND(B93=PriceList!$B$155,E93=PriceList!$B$192),PriceList!$B$181,IF(AND($B93=PriceList!$B$156,$E93=PriceList!$B$191),PriceList!$B$184,IF(AND(B93=PriceList!$B$156,E93=PriceList!$B$192),PriceList!$B$183,IF(AND($B93=PriceList!$B$157,$H93&lt;&gt;PriceList!$B$128),PriceList!$B$180,PriceList!$B$179))))))))))</f>
        <v/>
      </c>
      <c r="J93" s="95" t="str">
        <f>IF($H93="","",VLOOKUP($H93,HandleLookup[],2,FALSE))</f>
        <v/>
      </c>
      <c r="K93" s="95" t="str">
        <f t="shared" si="6"/>
        <v/>
      </c>
      <c r="L93" s="106" t="str">
        <f>IF($B93=PriceList!$B$163,"",IF(AND($B93=PriceList!$B$155,OR($C93="60x40",C93="60x60",C93="60x80")),"NB! Plywood is happier as drawers if possible.", IF(OR($C93="40x140",C93="40x180",C93="40x200",C93="60x140",C93="60x180",C93="60x200"),"NB! We recommend using MDF Doors for sizes over 120cm","")))</f>
        <v/>
      </c>
      <c r="M93" s="72" t="str">
        <f>IF(OR($C$12=PriceList!$B$134,$C$12=PriceList!$B$139,AND($C$12=PriceList!$B$134,$B93=PriceList!$C$164)),ROUNDUP($F93*$Q93*PriceList!$D$146,0),IF(OR($B93="",$C$14=PriceList!$B$175,$B93=PriceList!$C$164),"",IF($C$12=PriceList!$B$136,ROUNDUP($F93*($R93*PriceList!$E$136+$N93),0),ROUNDUP($F93*($R93*PriceList!$E$135+$N93),0))))</f>
        <v/>
      </c>
      <c r="N93">
        <f>IF(OR($C$12=PriceList!$B$167,$C$14=PriceList!$B$175),0,IF($H93=PriceList!$B$125,PriceList!$D$125,IF($H93=PriceList!$B$126,PriceList!$D$126,0)))</f>
        <v>0</v>
      </c>
      <c r="O93" s="79">
        <f t="shared" si="2"/>
        <v>0</v>
      </c>
      <c r="P93" s="79">
        <f>IF($B93=PriceList!$C$160,($C93+$D93)*0.002*0.03,($C93+$D93)*0.002*0.018)</f>
        <v>0</v>
      </c>
      <c r="Q93" s="79">
        <f t="shared" si="3"/>
        <v>0</v>
      </c>
      <c r="R93" s="79">
        <f t="shared" si="4"/>
        <v>0</v>
      </c>
      <c r="S93" s="79" t="str">
        <f t="shared" si="5"/>
        <v>30mm  Counter Top</v>
      </c>
      <c r="T93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4" spans="1:20" ht="15" customHeight="1" x14ac:dyDescent="0.5">
      <c r="A94" s="203"/>
      <c r="B94" s="94"/>
      <c r="C94" s="146"/>
      <c r="D94" s="146"/>
      <c r="E94" s="27" t="str">
        <f>IF($B94=0,"",IF($C94=PriceList!$B$19,PriceList!$B$190,IF(OR($B94=PriceList!$B$155,$B94=PriceList!$B$156,$B94=PriceList!$B$163,$B94=PriceList!$B$164),"",PriceList!$B$190)))</f>
        <v/>
      </c>
      <c r="F94" s="27"/>
      <c r="G94" s="168" t="str">
        <f>IF($D94="","",IF($B94=PriceList!$B$163,ROUNDUP((VLOOKUP($T$52,PriceLookup,2,FALSE))*(ROUNDUP($D94*$C94/1000000,2)),0),IF($B94=PriceList!$C$160,ROUNDUP((VLOOKUP($S$52,PriceLookup,2,FALSE))*(ROUNDUP($D94*$C94/1000000,2)),0),ROUNDUP((VLOOKUP($C$12,PriceLookup,2,FALSE))*(ROUNDUP($D94*$C94/1000000,2)),0))))</f>
        <v/>
      </c>
      <c r="H94" s="27" t="str">
        <f>IF($B94=0,"",IF(OR($B94=PriceList!$B$156,$B94=PriceList!$B$157,$B94=PriceList!$B$161),PriceList!$B$128,IF(OR($C$15="",$C$15=PriceList!$B$124),PriceList!$B$129,IF(OR($B94=PriceList!$B$154,$B94=PriceList!$B$155,$B94=PriceList!$B$163,$B94=PriceList!$B$164),$C$15,PriceList!$B$129))))</f>
        <v/>
      </c>
      <c r="I94" s="27" t="str">
        <f>IF($B94="","",IF(OR($H94=PriceList!$B$129,$H94=PriceList!$B$128),PriceList!$B$179,IF(OR($B94=PriceList!$B$154,$E94=PriceList!$B$193,$C94=PriceList!$B$5),PriceList!$B$180,IF(AND(OR($B94=PriceList!$B$163,$B94=PriceList!$B$164,ISNUMBER(SEARCH("180",$C94)),ISNUMBER(SEARCH("140",$C94)),ISNUMBER(SEARCH("200",$C94))),$E94=PriceList!$B$191),PriceList!$B$186,IF(AND(OR($B94=PriceList!$B$163,$B94=PriceList!$B$164,ISNUMBER(SEARCH("180",$C94)),ISNUMBER(SEARCH("140",$C94)),ISNUMBER(SEARCH("200",$C94))),$E94=PriceList!$B$192),PriceList!$B$185,IF(AND($B94=PriceList!$B$155,$E94=PriceList!$B$191),PriceList!$B$182,IF(AND(B94=PriceList!$B$155,E94=PriceList!$B$192),PriceList!$B$181,IF(AND($B94=PriceList!$B$156,$E94=PriceList!$B$191),PriceList!$B$184,IF(AND(B94=PriceList!$B$156,E94=PriceList!$B$192),PriceList!$B$183,IF(AND($B94=PriceList!$B$157,$H94&lt;&gt;PriceList!$B$128),PriceList!$B$180,PriceList!$B$179))))))))))</f>
        <v/>
      </c>
      <c r="J94" s="95" t="str">
        <f>IF($H94="","",VLOOKUP($H94,HandleLookup[],2,FALSE))</f>
        <v/>
      </c>
      <c r="K94" s="95" t="str">
        <f t="shared" si="6"/>
        <v/>
      </c>
      <c r="L94" s="106" t="str">
        <f>IF($B94=PriceList!$B$163,"",IF(AND($B94=PriceList!$B$155,OR($C94="60x40",C94="60x60",C94="60x80")),"NB! Plywood is happier as drawers if possible.", IF(OR($C94="40x140",C94="40x180",C94="40x200",C94="60x140",C94="60x180",C94="60x200"),"NB! We recommend using MDF Doors for sizes over 120cm","")))</f>
        <v/>
      </c>
      <c r="M94" s="72" t="str">
        <f>IF(OR($C$12=PriceList!$B$134,$C$12=PriceList!$B$139,AND($C$12=PriceList!$B$134,$B94=PriceList!$C$164)),ROUNDUP($F94*$Q94*PriceList!$D$146,0),IF(OR($B94="",$C$14=PriceList!$B$175,$B94=PriceList!$C$164),"",IF($C$12=PriceList!$B$136,ROUNDUP($F94*($R94*PriceList!$E$136+$N94),0),ROUNDUP($F94*($R94*PriceList!$E$135+$N94),0))))</f>
        <v/>
      </c>
      <c r="N94">
        <f>IF(OR($C$12=PriceList!$B$167,$C$14=PriceList!$B$175),0,IF($H94=PriceList!$B$125,PriceList!$D$125,IF($H94=PriceList!$B$126,PriceList!$D$126,0)))</f>
        <v>0</v>
      </c>
      <c r="O94" s="79">
        <f t="shared" si="2"/>
        <v>0</v>
      </c>
      <c r="P94" s="79">
        <f>IF($B94=PriceList!$C$160,($C94+$D94)*0.002*0.03,($C94+$D94)*0.002*0.018)</f>
        <v>0</v>
      </c>
      <c r="Q94" s="79">
        <f t="shared" si="3"/>
        <v>0</v>
      </c>
      <c r="R94" s="79">
        <f t="shared" si="4"/>
        <v>0</v>
      </c>
      <c r="S94" s="79" t="str">
        <f t="shared" si="5"/>
        <v>30mm  Counter Top</v>
      </c>
      <c r="T94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5" spans="1:20" ht="15" customHeight="1" x14ac:dyDescent="0.5">
      <c r="A95" s="203"/>
      <c r="B95" s="94"/>
      <c r="C95" s="146"/>
      <c r="D95" s="146"/>
      <c r="E95" s="27" t="str">
        <f>IF($B95=0,"",IF($C95=PriceList!$B$19,PriceList!$B$190,IF(OR($B95=PriceList!$B$155,$B95=PriceList!$B$156,$B95=PriceList!$B$163,$B95=PriceList!$B$164),"",PriceList!$B$190)))</f>
        <v/>
      </c>
      <c r="F95" s="27"/>
      <c r="G95" s="168" t="str">
        <f>IF($D95="","",IF($B95=PriceList!$B$163,ROUNDUP((VLOOKUP($T$52,PriceLookup,2,FALSE))*(ROUNDUP($D95*$C95/1000000,2)),0),IF($B95=PriceList!$C$160,ROUNDUP((VLOOKUP($S$52,PriceLookup,2,FALSE))*(ROUNDUP($D95*$C95/1000000,2)),0),ROUNDUP((VLOOKUP($C$12,PriceLookup,2,FALSE))*(ROUNDUP($D95*$C95/1000000,2)),0))))</f>
        <v/>
      </c>
      <c r="H95" s="27" t="str">
        <f>IF($B95=0,"",IF(OR($B95=PriceList!$B$156,$B95=PriceList!$B$157,$B95=PriceList!$B$161),PriceList!$B$128,IF(OR($C$15="",$C$15=PriceList!$B$124),PriceList!$B$129,IF(OR($B95=PriceList!$B$154,$B95=PriceList!$B$155,$B95=PriceList!$B$163,$B95=PriceList!$B$164),$C$15,PriceList!$B$129))))</f>
        <v/>
      </c>
      <c r="I95" s="27" t="str">
        <f>IF($B95="","",IF(OR($H95=PriceList!$B$129,$H95=PriceList!$B$128),PriceList!$B$179,IF(OR($B95=PriceList!$B$154,$E95=PriceList!$B$193,$C95=PriceList!$B$5),PriceList!$B$180,IF(AND(OR($B95=PriceList!$B$163,$B95=PriceList!$B$164,ISNUMBER(SEARCH("180",$C95)),ISNUMBER(SEARCH("140",$C95)),ISNUMBER(SEARCH("200",$C95))),$E95=PriceList!$B$191),PriceList!$B$186,IF(AND(OR($B95=PriceList!$B$163,$B95=PriceList!$B$164,ISNUMBER(SEARCH("180",$C95)),ISNUMBER(SEARCH("140",$C95)),ISNUMBER(SEARCH("200",$C95))),$E95=PriceList!$B$192),PriceList!$B$185,IF(AND($B95=PriceList!$B$155,$E95=PriceList!$B$191),PriceList!$B$182,IF(AND(B95=PriceList!$B$155,E95=PriceList!$B$192),PriceList!$B$181,IF(AND($B95=PriceList!$B$156,$E95=PriceList!$B$191),PriceList!$B$184,IF(AND(B95=PriceList!$B$156,E95=PriceList!$B$192),PriceList!$B$183,IF(AND($B95=PriceList!$B$157,$H95&lt;&gt;PriceList!$B$128),PriceList!$B$180,PriceList!$B$179))))))))))</f>
        <v/>
      </c>
      <c r="J95" s="95" t="str">
        <f>IF($H95="","",VLOOKUP($H95,HandleLookup[],2,FALSE))</f>
        <v/>
      </c>
      <c r="K95" s="95" t="str">
        <f t="shared" si="6"/>
        <v/>
      </c>
      <c r="L95" s="106" t="str">
        <f>IF($B95=PriceList!$B$163,"",IF(AND($B95=PriceList!$B$155,OR($C95="60x40",C95="60x60",C95="60x80")),"NB! Plywood is happier as drawers if possible.", IF(OR($C95="40x140",C95="40x180",C95="40x200",C95="60x140",C95="60x180",C95="60x200"),"NB! We recommend using MDF Doors for sizes over 120cm","")))</f>
        <v/>
      </c>
      <c r="M95" s="72" t="str">
        <f>IF(OR($C$12=PriceList!$B$134,$C$12=PriceList!$B$139,AND($C$12=PriceList!$B$134,$B95=PriceList!$C$164)),ROUNDUP($F95*$Q95*PriceList!$D$146,0),IF(OR($B95="",$C$14=PriceList!$B$175,$B95=PriceList!$C$164),"",IF($C$12=PriceList!$B$136,ROUNDUP($F95*($R95*PriceList!$E$136+$N95),0),ROUNDUP($F95*($R95*PriceList!$E$135+$N95),0))))</f>
        <v/>
      </c>
      <c r="N95">
        <f>IF(OR($C$12=PriceList!$B$167,$C$14=PriceList!$B$175),0,IF($H95=PriceList!$B$125,PriceList!$D$125,IF($H95=PriceList!$B$126,PriceList!$D$126,0)))</f>
        <v>0</v>
      </c>
      <c r="O95" s="79">
        <f t="shared" si="2"/>
        <v>0</v>
      </c>
      <c r="P95" s="79">
        <f>IF($B95=PriceList!$C$160,($C95+$D95)*0.002*0.03,($C95+$D95)*0.002*0.018)</f>
        <v>0</v>
      </c>
      <c r="Q95" s="79">
        <f t="shared" si="3"/>
        <v>0</v>
      </c>
      <c r="R95" s="79">
        <f t="shared" si="4"/>
        <v>0</v>
      </c>
      <c r="S95" s="79" t="str">
        <f t="shared" si="5"/>
        <v>30mm  Counter Top</v>
      </c>
      <c r="T95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6" spans="1:20" ht="15" customHeight="1" x14ac:dyDescent="0.5">
      <c r="A96" s="203"/>
      <c r="B96" s="94"/>
      <c r="C96" s="146"/>
      <c r="D96" s="146"/>
      <c r="E96" s="27" t="str">
        <f>IF($B96=0,"",IF($C96=PriceList!$B$19,PriceList!$B$190,IF(OR($B96=PriceList!$B$155,$B96=PriceList!$B$156,$B96=PriceList!$B$163,$B96=PriceList!$B$164),"",PriceList!$B$190)))</f>
        <v/>
      </c>
      <c r="F96" s="27"/>
      <c r="G96" s="168" t="str">
        <f>IF($D96="","",IF($B96=PriceList!$B$163,ROUNDUP((VLOOKUP($T$52,PriceLookup,2,FALSE))*(ROUNDUP($D96*$C96/1000000,2)),0),IF($B96=PriceList!$C$160,ROUNDUP((VLOOKUP($S$52,PriceLookup,2,FALSE))*(ROUNDUP($D96*$C96/1000000,2)),0),ROUNDUP((VLOOKUP($C$12,PriceLookup,2,FALSE))*(ROUNDUP($D96*$C96/1000000,2)),0))))</f>
        <v/>
      </c>
      <c r="H96" s="27" t="str">
        <f>IF($B96=0,"",IF(OR($B96=PriceList!$B$156,$B96=PriceList!$B$157,$B96=PriceList!$B$161),PriceList!$B$128,IF(OR($C$15="",$C$15=PriceList!$B$124),PriceList!$B$129,IF(OR($B96=PriceList!$B$154,$B96=PriceList!$B$155,$B96=PriceList!$B$163,$B96=PriceList!$B$164),$C$15,PriceList!$B$129))))</f>
        <v/>
      </c>
      <c r="I96" s="27" t="str">
        <f>IF($B96="","",IF(OR($H96=PriceList!$B$129,$H96=PriceList!$B$128),PriceList!$B$179,IF(OR($B96=PriceList!$B$154,$E96=PriceList!$B$193,$C96=PriceList!$B$5),PriceList!$B$180,IF(AND(OR($B96=PriceList!$B$163,$B96=PriceList!$B$164,ISNUMBER(SEARCH("180",$C96)),ISNUMBER(SEARCH("140",$C96)),ISNUMBER(SEARCH("200",$C96))),$E96=PriceList!$B$191),PriceList!$B$186,IF(AND(OR($B96=PriceList!$B$163,$B96=PriceList!$B$164,ISNUMBER(SEARCH("180",$C96)),ISNUMBER(SEARCH("140",$C96)),ISNUMBER(SEARCH("200",$C96))),$E96=PriceList!$B$192),PriceList!$B$185,IF(AND($B96=PriceList!$B$155,$E96=PriceList!$B$191),PriceList!$B$182,IF(AND(B96=PriceList!$B$155,E96=PriceList!$B$192),PriceList!$B$181,IF(AND($B96=PriceList!$B$156,$E96=PriceList!$B$191),PriceList!$B$184,IF(AND(B96=PriceList!$B$156,E96=PriceList!$B$192),PriceList!$B$183,IF(AND($B96=PriceList!$B$157,$H96&lt;&gt;PriceList!$B$128),PriceList!$B$180,PriceList!$B$179))))))))))</f>
        <v/>
      </c>
      <c r="J96" s="95" t="str">
        <f>IF($H96="","",VLOOKUP($H96,HandleLookup[],2,FALSE))</f>
        <v/>
      </c>
      <c r="K96" s="95" t="str">
        <f t="shared" si="6"/>
        <v/>
      </c>
      <c r="L96" s="106" t="str">
        <f>IF($B96=PriceList!$B$163,"",IF(AND($B96=PriceList!$B$155,OR($C96="60x40",C96="60x60",C96="60x80")),"NB! Plywood is happier as drawers if possible.", IF(OR($C96="40x140",C96="40x180",C96="40x200",C96="60x140",C96="60x180",C96="60x200"),"NB! We recommend using MDF Doors for sizes over 120cm","")))</f>
        <v/>
      </c>
      <c r="M96" s="72" t="str">
        <f>IF(OR($C$12=PriceList!$B$134,$C$12=PriceList!$B$139,AND($C$12=PriceList!$B$134,$B96=PriceList!$C$164)),ROUNDUP($F96*$Q96*PriceList!$D$146,0),IF(OR($B96="",$C$14=PriceList!$B$175,$B96=PriceList!$C$164),"",IF($C$12=PriceList!$B$136,ROUNDUP($F96*($R96*PriceList!$E$136+$N96),0),ROUNDUP($F96*($R96*PriceList!$E$135+$N96),0))))</f>
        <v/>
      </c>
      <c r="N96">
        <f>IF(OR($C$12=PriceList!$B$167,$C$14=PriceList!$B$175),0,IF($H96=PriceList!$B$125,PriceList!$D$125,IF($H96=PriceList!$B$126,PriceList!$D$126,0)))</f>
        <v>0</v>
      </c>
      <c r="O96" s="79">
        <f t="shared" si="2"/>
        <v>0</v>
      </c>
      <c r="P96" s="79">
        <f>IF($B96=PriceList!$C$160,($C96+$D96)*0.002*0.03,($C96+$D96)*0.002*0.018)</f>
        <v>0</v>
      </c>
      <c r="Q96" s="79">
        <f t="shared" si="3"/>
        <v>0</v>
      </c>
      <c r="R96" s="79">
        <f t="shared" si="4"/>
        <v>0</v>
      </c>
      <c r="S96" s="79" t="str">
        <f t="shared" si="5"/>
        <v>30mm  Counter Top</v>
      </c>
      <c r="T96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7" spans="1:20" ht="15" customHeight="1" x14ac:dyDescent="0.5">
      <c r="A97" s="203"/>
      <c r="B97" s="94"/>
      <c r="C97" s="146"/>
      <c r="D97" s="146"/>
      <c r="E97" s="27" t="str">
        <f>IF($B97=0,"",IF($C97=PriceList!$B$19,PriceList!$B$190,IF(OR($B97=PriceList!$B$155,$B97=PriceList!$B$156,$B97=PriceList!$B$163,$B97=PriceList!$B$164),"",PriceList!$B$190)))</f>
        <v/>
      </c>
      <c r="F97" s="27"/>
      <c r="G97" s="168" t="str">
        <f>IF($D97="","",IF($B97=PriceList!$B$163,ROUNDUP((VLOOKUP($T$52,PriceLookup,2,FALSE))*(ROUNDUP($D97*$C97/1000000,2)),0),IF($B97=PriceList!$C$160,ROUNDUP((VLOOKUP($S$52,PriceLookup,2,FALSE))*(ROUNDUP($D97*$C97/1000000,2)),0),ROUNDUP((VLOOKUP($C$12,PriceLookup,2,FALSE))*(ROUNDUP($D97*$C97/1000000,2)),0))))</f>
        <v/>
      </c>
      <c r="H97" s="27" t="str">
        <f>IF($B97=0,"",IF(OR($B97=PriceList!$B$156,$B97=PriceList!$B$157,$B97=PriceList!$B$161),PriceList!$B$128,IF(OR($C$15="",$C$15=PriceList!$B$124),PriceList!$B$129,IF(OR($B97=PriceList!$B$154,$B97=PriceList!$B$155,$B97=PriceList!$B$163,$B97=PriceList!$B$164),$C$15,PriceList!$B$129))))</f>
        <v/>
      </c>
      <c r="I97" s="27" t="str">
        <f>IF($B97="","",IF(OR($H97=PriceList!$B$129,$H97=PriceList!$B$128),PriceList!$B$179,IF(OR($B97=PriceList!$B$154,$E97=PriceList!$B$193,$C97=PriceList!$B$5),PriceList!$B$180,IF(AND(OR($B97=PriceList!$B$163,$B97=PriceList!$B$164,ISNUMBER(SEARCH("180",$C97)),ISNUMBER(SEARCH("140",$C97)),ISNUMBER(SEARCH("200",$C97))),$E97=PriceList!$B$191),PriceList!$B$186,IF(AND(OR($B97=PriceList!$B$163,$B97=PriceList!$B$164,ISNUMBER(SEARCH("180",$C97)),ISNUMBER(SEARCH("140",$C97)),ISNUMBER(SEARCH("200",$C97))),$E97=PriceList!$B$192),PriceList!$B$185,IF(AND($B97=PriceList!$B$155,$E97=PriceList!$B$191),PriceList!$B$182,IF(AND(B97=PriceList!$B$155,E97=PriceList!$B$192),PriceList!$B$181,IF(AND($B97=PriceList!$B$156,$E97=PriceList!$B$191),PriceList!$B$184,IF(AND(B97=PriceList!$B$156,E97=PriceList!$B$192),PriceList!$B$183,IF(AND($B97=PriceList!$B$157,$H97&lt;&gt;PriceList!$B$128),PriceList!$B$180,PriceList!$B$179))))))))))</f>
        <v/>
      </c>
      <c r="J97" s="95" t="str">
        <f>IF($H97="","",VLOOKUP($H97,HandleLookup[],2,FALSE))</f>
        <v/>
      </c>
      <c r="K97" s="95" t="str">
        <f t="shared" si="6"/>
        <v/>
      </c>
      <c r="L97" s="106" t="str">
        <f>IF($B97=PriceList!$B$163,"",IF(AND($B97=PriceList!$B$155,OR($C97="60x40",C97="60x60",C97="60x80")),"NB! Plywood is happier as drawers if possible.", IF(OR($C97="40x140",C97="40x180",C97="40x200",C97="60x140",C97="60x180",C97="60x200"),"NB! We recommend using MDF Doors for sizes over 120cm","")))</f>
        <v/>
      </c>
      <c r="M97" s="72" t="str">
        <f>IF(OR($C$12=PriceList!$B$134,$C$12=PriceList!$B$139,AND($C$12=PriceList!$B$134,$B97=PriceList!$C$164)),ROUNDUP($F97*$Q97*PriceList!$D$146,0),IF(OR($B97="",$C$14=PriceList!$B$175,$B97=PriceList!$C$164),"",IF($C$12=PriceList!$B$136,ROUNDUP($F97*($R97*PriceList!$E$136+$N97),0),ROUNDUP($F97*($R97*PriceList!$E$135+$N97),0))))</f>
        <v/>
      </c>
      <c r="N97">
        <f>IF(OR($C$12=PriceList!$B$167,$C$14=PriceList!$B$175),0,IF($H97=PriceList!$B$125,PriceList!$D$125,IF($H97=PriceList!$B$126,PriceList!$D$126,0)))</f>
        <v>0</v>
      </c>
      <c r="O97" s="79">
        <f t="shared" si="2"/>
        <v>0</v>
      </c>
      <c r="P97" s="79">
        <f>IF($B97=PriceList!$C$160,($C97+$D97)*0.002*0.03,($C97+$D97)*0.002*0.018)</f>
        <v>0</v>
      </c>
      <c r="Q97" s="79">
        <f t="shared" si="3"/>
        <v>0</v>
      </c>
      <c r="R97" s="79">
        <f t="shared" si="4"/>
        <v>0</v>
      </c>
      <c r="S97" s="79" t="str">
        <f t="shared" si="5"/>
        <v>30mm  Counter Top</v>
      </c>
      <c r="T97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8" spans="1:20" ht="15" customHeight="1" x14ac:dyDescent="0.5">
      <c r="A98" s="203"/>
      <c r="B98" s="94"/>
      <c r="C98" s="146"/>
      <c r="D98" s="146"/>
      <c r="E98" s="27" t="str">
        <f>IF($B98=0,"",IF($C98=PriceList!$B$19,PriceList!$B$190,IF(OR($B98=PriceList!$B$155,$B98=PriceList!$B$156,$B98=PriceList!$B$163,$B98=PriceList!$B$164),"",PriceList!$B$190)))</f>
        <v/>
      </c>
      <c r="F98" s="27"/>
      <c r="G98" s="168" t="str">
        <f>IF($D98="","",IF($B98=PriceList!$B$163,ROUNDUP((VLOOKUP($T$52,PriceLookup,2,FALSE))*(ROUNDUP($D98*$C98/1000000,2)),0),IF($B98=PriceList!$C$160,ROUNDUP((VLOOKUP($S$52,PriceLookup,2,FALSE))*(ROUNDUP($D98*$C98/1000000,2)),0),ROUNDUP((VLOOKUP($C$12,PriceLookup,2,FALSE))*(ROUNDUP($D98*$C98/1000000,2)),0))))</f>
        <v/>
      </c>
      <c r="H98" s="27" t="str">
        <f>IF($B98=0,"",IF(OR($B98=PriceList!$B$156,$B98=PriceList!$B$157,$B98=PriceList!$B$161),PriceList!$B$128,IF(OR($C$15="",$C$15=PriceList!$B$124),PriceList!$B$129,IF(OR($B98=PriceList!$B$154,$B98=PriceList!$B$155,$B98=PriceList!$B$163,$B98=PriceList!$B$164),$C$15,PriceList!$B$129))))</f>
        <v/>
      </c>
      <c r="I98" s="27" t="str">
        <f>IF($B98="","",IF(OR($H98=PriceList!$B$129,$H98=PriceList!$B$128),PriceList!$B$179,IF(OR($B98=PriceList!$B$154,$E98=PriceList!$B$193,$C98=PriceList!$B$5),PriceList!$B$180,IF(AND(OR($B98=PriceList!$B$163,$B98=PriceList!$B$164,ISNUMBER(SEARCH("180",$C98)),ISNUMBER(SEARCH("140",$C98)),ISNUMBER(SEARCH("200",$C98))),$E98=PriceList!$B$191),PriceList!$B$186,IF(AND(OR($B98=PriceList!$B$163,$B98=PriceList!$B$164,ISNUMBER(SEARCH("180",$C98)),ISNUMBER(SEARCH("140",$C98)),ISNUMBER(SEARCH("200",$C98))),$E98=PriceList!$B$192),PriceList!$B$185,IF(AND($B98=PriceList!$B$155,$E98=PriceList!$B$191),PriceList!$B$182,IF(AND(B98=PriceList!$B$155,E98=PriceList!$B$192),PriceList!$B$181,IF(AND($B98=PriceList!$B$156,$E98=PriceList!$B$191),PriceList!$B$184,IF(AND(B98=PriceList!$B$156,E98=PriceList!$B$192),PriceList!$B$183,IF(AND($B98=PriceList!$B$157,$H98&lt;&gt;PriceList!$B$128),PriceList!$B$180,PriceList!$B$179))))))))))</f>
        <v/>
      </c>
      <c r="J98" s="95" t="str">
        <f>IF($H98="","",VLOOKUP($H98,HandleLookup[],2,FALSE))</f>
        <v/>
      </c>
      <c r="K98" s="95" t="str">
        <f t="shared" si="6"/>
        <v/>
      </c>
      <c r="L98" s="106" t="str">
        <f>IF($B98=PriceList!$B$163,"",IF(AND($B98=PriceList!$B$155,OR($C98="60x40",C98="60x60",C98="60x80")),"NB! Plywood is happier as drawers if possible.", IF(OR($C98="40x140",C98="40x180",C98="40x200",C98="60x140",C98="60x180",C98="60x200"),"NB! We recommend using MDF Doors for sizes over 120cm","")))</f>
        <v/>
      </c>
      <c r="M98" s="72" t="str">
        <f>IF(OR($C$12=PriceList!$B$134,$C$12=PriceList!$B$139,AND($C$12=PriceList!$B$134,$B98=PriceList!$C$164)),ROUNDUP($F98*$Q98*PriceList!$D$146,0),IF(OR($B98="",$C$14=PriceList!$B$175,$B98=PriceList!$C$164),"",IF($C$12=PriceList!$B$136,ROUNDUP($F98*($R98*PriceList!$E$136+$N98),0),ROUNDUP($F98*($R98*PriceList!$E$135+$N98),0))))</f>
        <v/>
      </c>
      <c r="N98">
        <f>IF(OR($C$12=PriceList!$B$167,$C$14=PriceList!$B$175),0,IF($H98=PriceList!$B$125,PriceList!$D$125,IF($H98=PriceList!$B$126,PriceList!$D$126,0)))</f>
        <v>0</v>
      </c>
      <c r="O98" s="79">
        <f t="shared" si="2"/>
        <v>0</v>
      </c>
      <c r="P98" s="79">
        <f>IF($B98=PriceList!$C$160,($C98+$D98)*0.002*0.03,($C98+$D98)*0.002*0.018)</f>
        <v>0</v>
      </c>
      <c r="Q98" s="79">
        <f t="shared" si="3"/>
        <v>0</v>
      </c>
      <c r="R98" s="79">
        <f t="shared" si="4"/>
        <v>0</v>
      </c>
      <c r="S98" s="79" t="str">
        <f t="shared" si="5"/>
        <v>30mm  Counter Top</v>
      </c>
      <c r="T98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99" spans="1:20" ht="15" customHeight="1" x14ac:dyDescent="0.5">
      <c r="A99" s="203"/>
      <c r="B99" s="94"/>
      <c r="C99" s="146"/>
      <c r="D99" s="146"/>
      <c r="E99" s="27" t="str">
        <f>IF($B99=0,"",IF($C99=PriceList!$B$19,PriceList!$B$190,IF(OR($B99=PriceList!$B$155,$B99=PriceList!$B$156,$B99=PriceList!$B$163,$B99=PriceList!$B$164),"",PriceList!$B$190)))</f>
        <v/>
      </c>
      <c r="F99" s="27"/>
      <c r="G99" s="168" t="str">
        <f>IF($D99="","",IF($B99=PriceList!$B$163,ROUNDUP((VLOOKUP($T$52,PriceLookup,2,FALSE))*(ROUNDUP($D99*$C99/1000000,2)),0),IF($B99=PriceList!$C$160,ROUNDUP((VLOOKUP($S$52,PriceLookup,2,FALSE))*(ROUNDUP($D99*$C99/1000000,2)),0),ROUNDUP((VLOOKUP($C$12,PriceLookup,2,FALSE))*(ROUNDUP($D99*$C99/1000000,2)),0))))</f>
        <v/>
      </c>
      <c r="H99" s="27" t="str">
        <f>IF($B99=0,"",IF(OR($B99=PriceList!$B$156,$B99=PriceList!$B$157,$B99=PriceList!$B$161),PriceList!$B$128,IF(OR($C$15="",$C$15=PriceList!$B$124),PriceList!$B$129,IF(OR($B99=PriceList!$B$154,$B99=PriceList!$B$155,$B99=PriceList!$B$163,$B99=PriceList!$B$164),$C$15,PriceList!$B$129))))</f>
        <v/>
      </c>
      <c r="I99" s="27" t="str">
        <f>IF($B99="","",IF(OR($H99=PriceList!$B$129,$H99=PriceList!$B$128),PriceList!$B$179,IF(OR($B99=PriceList!$B$154,$E99=PriceList!$B$193,$C99=PriceList!$B$5),PriceList!$B$180,IF(AND(OR($B99=PriceList!$B$163,$B99=PriceList!$B$164,ISNUMBER(SEARCH("180",$C99)),ISNUMBER(SEARCH("140",$C99)),ISNUMBER(SEARCH("200",$C99))),$E99=PriceList!$B$191),PriceList!$B$186,IF(AND(OR($B99=PriceList!$B$163,$B99=PriceList!$B$164,ISNUMBER(SEARCH("180",$C99)),ISNUMBER(SEARCH("140",$C99)),ISNUMBER(SEARCH("200",$C99))),$E99=PriceList!$B$192),PriceList!$B$185,IF(AND($B99=PriceList!$B$155,$E99=PriceList!$B$191),PriceList!$B$182,IF(AND(B99=PriceList!$B$155,E99=PriceList!$B$192),PriceList!$B$181,IF(AND($B99=PriceList!$B$156,$E99=PriceList!$B$191),PriceList!$B$184,IF(AND(B99=PriceList!$B$156,E99=PriceList!$B$192),PriceList!$B$183,IF(AND($B99=PriceList!$B$157,$H99&lt;&gt;PriceList!$B$128),PriceList!$B$180,PriceList!$B$179))))))))))</f>
        <v/>
      </c>
      <c r="J99" s="95" t="str">
        <f>IF($H99="","",VLOOKUP($H99,HandleLookup[],2,FALSE))</f>
        <v/>
      </c>
      <c r="K99" s="95" t="str">
        <f t="shared" si="6"/>
        <v/>
      </c>
      <c r="L99" s="106" t="str">
        <f>IF($B99=PriceList!$B$163,"",IF(AND($B99=PriceList!$B$155,OR($C99="60x40",C99="60x60",C99="60x80")),"NB! Plywood is happier as drawers if possible.", IF(OR($C99="40x140",C99="40x180",C99="40x200",C99="60x140",C99="60x180",C99="60x200"),"NB! We recommend using MDF Doors for sizes over 120cm","")))</f>
        <v/>
      </c>
      <c r="M99" s="72" t="str">
        <f>IF(OR($C$12=PriceList!$B$134,$C$12=PriceList!$B$139,AND($C$12=PriceList!$B$134,$B99=PriceList!$C$164)),ROUNDUP($F99*$Q99*PriceList!$D$146,0),IF(OR($B99="",$C$14=PriceList!$B$175,$B99=PriceList!$C$164),"",IF($C$12=PriceList!$B$136,ROUNDUP($F99*($R99*PriceList!$E$136+$N99),0),ROUNDUP($F99*($R99*PriceList!$E$135+$N99),0))))</f>
        <v/>
      </c>
      <c r="N99">
        <f>IF(OR($C$12=PriceList!$B$167,$C$14=PriceList!$B$175),0,IF($H99=PriceList!$B$125,PriceList!$D$125,IF($H99=PriceList!$B$126,PriceList!$D$126,0)))</f>
        <v>0</v>
      </c>
      <c r="O99" s="79">
        <f t="shared" si="2"/>
        <v>0</v>
      </c>
      <c r="P99" s="79">
        <f>IF($B99=PriceList!$C$160,($C99+$D99)*0.002*0.03,($C99+$D99)*0.002*0.018)</f>
        <v>0</v>
      </c>
      <c r="Q99" s="79">
        <f t="shared" si="3"/>
        <v>0</v>
      </c>
      <c r="R99" s="79">
        <f t="shared" si="4"/>
        <v>0</v>
      </c>
      <c r="S99" s="79" t="str">
        <f t="shared" si="5"/>
        <v>30mm  Counter Top</v>
      </c>
      <c r="T99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100" spans="1:20" ht="15" customHeight="1" x14ac:dyDescent="0.5">
      <c r="A100" s="203"/>
      <c r="B100" s="94"/>
      <c r="C100" s="146"/>
      <c r="D100" s="146"/>
      <c r="E100" s="27" t="str">
        <f>IF($B100=0,"",IF($C100=PriceList!$B$19,PriceList!$B$190,IF(OR($B100=PriceList!$B$155,$B100=PriceList!$B$156,$B100=PriceList!$B$163,$B100=PriceList!$B$164),"",PriceList!$B$190)))</f>
        <v/>
      </c>
      <c r="F100" s="27"/>
      <c r="G100" s="168" t="str">
        <f>IF($D100="","",IF($B100=PriceList!$B$163,ROUNDUP((VLOOKUP($T$52,PriceLookup,2,FALSE))*(ROUNDUP($D100*$C100/1000000,2)),0),IF($B100=PriceList!$C$160,ROUNDUP((VLOOKUP($S$52,PriceLookup,2,FALSE))*(ROUNDUP($D100*$C100/1000000,2)),0),ROUNDUP((VLOOKUP($C$12,PriceLookup,2,FALSE))*(ROUNDUP($D100*$C100/1000000,2)),0))))</f>
        <v/>
      </c>
      <c r="H100" s="27" t="str">
        <f>IF($B100=0,"",IF(OR($B100=PriceList!$B$156,$B100=PriceList!$B$157,$B100=PriceList!$B$161),PriceList!$B$128,IF(OR($C$15="",$C$15=PriceList!$B$124),PriceList!$B$129,IF(OR($B100=PriceList!$B$154,$B100=PriceList!$B$155,$B100=PriceList!$B$163,$B100=PriceList!$B$164),$C$15,PriceList!$B$129))))</f>
        <v/>
      </c>
      <c r="I100" s="27" t="str">
        <f>IF($B100="","",IF(OR($H100=PriceList!$B$129,$H100=PriceList!$B$128),PriceList!$B$179,IF(OR($B100=PriceList!$B$154,$E100=PriceList!$B$193,$C100=PriceList!$B$5),PriceList!$B$180,IF(AND(OR($B100=PriceList!$B$163,$B100=PriceList!$B$164,ISNUMBER(SEARCH("180",$C100)),ISNUMBER(SEARCH("140",$C100)),ISNUMBER(SEARCH("200",$C100))),$E100=PriceList!$B$191),PriceList!$B$186,IF(AND(OR($B100=PriceList!$B$163,$B100=PriceList!$B$164,ISNUMBER(SEARCH("180",$C100)),ISNUMBER(SEARCH("140",$C100)),ISNUMBER(SEARCH("200",$C100))),$E100=PriceList!$B$192),PriceList!$B$185,IF(AND($B100=PriceList!$B$155,$E100=PriceList!$B$191),PriceList!$B$182,IF(AND(B100=PriceList!$B$155,E100=PriceList!$B$192),PriceList!$B$181,IF(AND($B100=PriceList!$B$156,$E100=PriceList!$B$191),PriceList!$B$184,IF(AND(B100=PriceList!$B$156,E100=PriceList!$B$192),PriceList!$B$183,IF(AND($B100=PriceList!$B$157,$H100&lt;&gt;PriceList!$B$128),PriceList!$B$180,PriceList!$B$179))))))))))</f>
        <v/>
      </c>
      <c r="J100" s="95" t="str">
        <f>IF($H100="","",VLOOKUP($H100,HandleLookup[],2,FALSE))</f>
        <v/>
      </c>
      <c r="K100" s="95" t="str">
        <f t="shared" si="6"/>
        <v/>
      </c>
      <c r="L100" s="106" t="str">
        <f>IF($B100=PriceList!$B$163,"",IF(AND($B100=PriceList!$B$155,OR($C100="60x40",C100="60x60",C100="60x80")),"NB! Plywood is happier as drawers if possible.", IF(OR($C100="40x140",C100="40x180",C100="40x200",C100="60x140",C100="60x180",C100="60x200"),"NB! We recommend using MDF Doors for sizes over 120cm","")))</f>
        <v/>
      </c>
      <c r="M100" s="72" t="str">
        <f>IF(OR($C$12=PriceList!$B$134,$C$12=PriceList!$B$139,AND($C$12=PriceList!$B$134,$B100=PriceList!$C$164)),ROUNDUP($F100*$Q100*PriceList!$D$146,0),IF(OR($B100="",$C$14=PriceList!$B$175,$B100=PriceList!$C$164),"",IF($C$12=PriceList!$B$136,ROUNDUP($F100*($R100*PriceList!$E$136+$N100),0),ROUNDUP($F100*($R100*PriceList!$E$135+$N100),0))))</f>
        <v/>
      </c>
      <c r="N100">
        <f>IF(OR($C$12=PriceList!$B$167,$C$14=PriceList!$B$175),0,IF($H100=PriceList!$B$125,PriceList!$D$125,IF($H100=PriceList!$B$126,PriceList!$D$126,0)))</f>
        <v>0</v>
      </c>
      <c r="O100" s="79">
        <f t="shared" si="2"/>
        <v>0</v>
      </c>
      <c r="P100" s="79">
        <f>IF($B100=PriceList!$C$160,($C100+$D100)*0.002*0.03,($C100+$D100)*0.002*0.018)</f>
        <v>0</v>
      </c>
      <c r="Q100" s="79">
        <f t="shared" si="3"/>
        <v>0</v>
      </c>
      <c r="R100" s="79">
        <f t="shared" si="4"/>
        <v>0</v>
      </c>
      <c r="S100" s="79" t="str">
        <f t="shared" si="5"/>
        <v>30mm  Counter Top</v>
      </c>
      <c r="T100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  <row r="101" spans="1:20" ht="15" customHeight="1" x14ac:dyDescent="0.5">
      <c r="A101" s="203"/>
      <c r="B101" s="94"/>
      <c r="C101" s="146"/>
      <c r="D101" s="146"/>
      <c r="E101" s="27" t="str">
        <f>IF($B101=0,"",IF($C101=PriceList!$B$19,PriceList!$B$190,IF(OR($B101=PriceList!$B$155,$B101=PriceList!$B$156,$B101=PriceList!$B$163,$B101=PriceList!$B$164),"",PriceList!$B$190)))</f>
        <v/>
      </c>
      <c r="F101" s="27"/>
      <c r="G101" s="168" t="str">
        <f>IF($D101="","",IF($B101=PriceList!$B$163,ROUNDUP((VLOOKUP($T$52,PriceLookup,2,FALSE))*(ROUNDUP($D101*$C101/1000000,2)),0),IF($B101=PriceList!$C$160,ROUNDUP((VLOOKUP($S$52,PriceLookup,2,FALSE))*(ROUNDUP($D101*$C101/1000000,2)),0),ROUNDUP((VLOOKUP($C$12,PriceLookup,2,FALSE))*(ROUNDUP($D101*$C101/1000000,2)),0))))</f>
        <v/>
      </c>
      <c r="H101" s="27" t="str">
        <f>IF($B101=0,"",IF(OR($B101=PriceList!$B$156,$B101=PriceList!$B$157,$B101=PriceList!$B$161),PriceList!$B$128,IF(OR($C$15="",$C$15=PriceList!$B$124),PriceList!$B$129,IF(OR($B101=PriceList!$B$154,$B101=PriceList!$B$155,$B101=PriceList!$B$163,$B101=PriceList!$B$164),$C$15,PriceList!$B$129))))</f>
        <v/>
      </c>
      <c r="I101" s="27" t="str">
        <f>IF($B101="","",IF(OR($H101=PriceList!$B$129,$H101=PriceList!$B$128),PriceList!$B$179,IF(OR($B101=PriceList!$B$154,$E101=PriceList!$B$193,$C101=PriceList!$B$5),PriceList!$B$180,IF(AND(OR($B101=PriceList!$B$163,$B101=PriceList!$B$164,ISNUMBER(SEARCH("180",$C101)),ISNUMBER(SEARCH("140",$C101)),ISNUMBER(SEARCH("200",$C101))),$E101=PriceList!$B$191),PriceList!$B$186,IF(AND(OR($B101=PriceList!$B$163,$B101=PriceList!$B$164,ISNUMBER(SEARCH("180",$C101)),ISNUMBER(SEARCH("140",$C101)),ISNUMBER(SEARCH("200",$C101))),$E101=PriceList!$B$192),PriceList!$B$185,IF(AND($B101=PriceList!$B$155,$E101=PriceList!$B$191),PriceList!$B$182,IF(AND(B101=PriceList!$B$155,E101=PriceList!$B$192),PriceList!$B$181,IF(AND($B101=PriceList!$B$156,$E101=PriceList!$B$191),PriceList!$B$184,IF(AND(B101=PriceList!$B$156,E101=PriceList!$B$192),PriceList!$B$183,IF(AND($B101=PriceList!$B$157,$H101&lt;&gt;PriceList!$B$128),PriceList!$B$180,PriceList!$B$179))))))))))</f>
        <v/>
      </c>
      <c r="J101" s="95" t="str">
        <f>IF($H101="","",VLOOKUP($H101,HandleLookup[],2,FALSE))</f>
        <v/>
      </c>
      <c r="K101" s="95" t="str">
        <f t="shared" si="6"/>
        <v/>
      </c>
      <c r="L101" s="106" t="str">
        <f>IF($B101=PriceList!$B$163,"",IF(AND($B101=PriceList!$B$155,OR($C101="60x40",C101="60x60",C101="60x80")),"NB! Plywood is happier as drawers if possible.", IF(OR($C101="40x140",C101="40x180",C101="40x200",C101="60x140",C101="60x180",C101="60x200"),"NB! We recommend using MDF Doors for sizes over 120cm","")))</f>
        <v/>
      </c>
      <c r="M101" s="72" t="str">
        <f>IF(OR($C$12=PriceList!$B$134,$C$12=PriceList!$B$139,AND($C$12=PriceList!$B$134,$B101=PriceList!$C$164)),ROUNDUP($F101*$Q101*PriceList!$D$146,0),IF(OR($B101="",$C$14=PriceList!$B$175,$B101=PriceList!$C$164),"",IF($C$12=PriceList!$B$136,ROUNDUP($F101*($R101*PriceList!$E$136+$N101),0),ROUNDUP($F101*($R101*PriceList!$E$135+$N101),0))))</f>
        <v/>
      </c>
      <c r="N101">
        <f>IF(OR($C$12=PriceList!$B$167,$C$14=PriceList!$B$175),0,IF($H101=PriceList!$B$125,PriceList!$D$125,IF($H101=PriceList!$B$126,PriceList!$D$126,0)))</f>
        <v>0</v>
      </c>
      <c r="O101" s="79">
        <f t="shared" si="2"/>
        <v>0</v>
      </c>
      <c r="P101" s="79">
        <f>IF($B101=PriceList!$C$160,($C101+$D101)*0.002*0.03,($C101+$D101)*0.002*0.018)</f>
        <v>0</v>
      </c>
      <c r="Q101" s="79">
        <f t="shared" si="3"/>
        <v>0</v>
      </c>
      <c r="R101" s="79">
        <f t="shared" si="4"/>
        <v>0</v>
      </c>
      <c r="S101" s="79" t="str">
        <f t="shared" si="5"/>
        <v>30mm  Counter Top</v>
      </c>
      <c r="T101" s="72" t="str">
        <f>IF($C$12=PriceList!$B$134,PriceList!$B$146,IF($C$12=PriceList!$B$135,PriceList!$B$147,IF($C$12=PriceList!$B$136,PriceList!$B$148,IF($C$12=PriceList!$B$137,PriceList!$B$149,IF($C$12=PriceList!$B$138,PriceList!$B$150,PriceList!$B$151)))))</f>
        <v>MDF Veneer</v>
      </c>
    </row>
  </sheetData>
  <sheetProtection algorithmName="SHA-512" hashValue="mc7z8gYDiXOEKir2ajbywwQ67NtjwtFz3+blJG/RvhBrKIudgcD6M7gUgha63Enrlnezc548ZJT5G4wrTx0hQA==" saltValue="NafBeE/VQgsrrwUp2yhGZQ==" spinCount="100000" sheet="1" selectLockedCells="1"/>
  <mergeCells count="46">
    <mergeCell ref="C16:F16"/>
    <mergeCell ref="C15:F15"/>
    <mergeCell ref="C13:F13"/>
    <mergeCell ref="B10:F10"/>
    <mergeCell ref="H10:I10"/>
    <mergeCell ref="C12:F12"/>
    <mergeCell ref="C14:F14"/>
    <mergeCell ref="M5:O5"/>
    <mergeCell ref="B9:F9"/>
    <mergeCell ref="H9:I9"/>
    <mergeCell ref="B6:F6"/>
    <mergeCell ref="B7:F7"/>
    <mergeCell ref="H7:I7"/>
    <mergeCell ref="B8:F8"/>
    <mergeCell ref="H8:I8"/>
    <mergeCell ref="B49:K5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7:D47"/>
    <mergeCell ref="C48:D48"/>
    <mergeCell ref="C42:D42"/>
    <mergeCell ref="C43:D43"/>
    <mergeCell ref="C44:D44"/>
    <mergeCell ref="C45:D45"/>
    <mergeCell ref="C46:D46"/>
  </mergeCells>
  <conditionalFormatting sqref="G20:G48 G51">
    <cfRule type="containsText" dxfId="1" priority="1" operator="containsText" text="N/A">
      <formula>NOT(ISERROR(SEARCH("N/A",G20)))</formula>
    </cfRule>
  </conditionalFormatting>
  <dataValidations count="16">
    <dataValidation type="list" allowBlank="1" showInputMessage="1" showErrorMessage="1" sqref="E20:E48 E52:E101" xr:uid="{00000000-0002-0000-0000-000000000000}">
      <formula1>Hinging</formula1>
    </dataValidation>
    <dataValidation type="list" allowBlank="1" showInputMessage="1" showErrorMessage="1" sqref="I20:I48 I52:I101" xr:uid="{00000000-0002-0000-0000-000001000000}">
      <formula1>HandlePosition</formula1>
    </dataValidation>
    <dataValidation type="whole" operator="greaterThan" allowBlank="1" showInputMessage="1" showErrorMessage="1" sqref="F20:F48 F52:F101" xr:uid="{00000000-0002-0000-0000-000002000000}">
      <formula1>0</formula1>
    </dataValidation>
    <dataValidation type="list" allowBlank="1" showInputMessage="1" showErrorMessage="1" sqref="H20:H48 H52:H101" xr:uid="{00000000-0002-0000-0000-000003000000}">
      <formula1>Handles</formula1>
    </dataValidation>
    <dataValidation type="list" allowBlank="1" showInputMessage="1" showErrorMessage="1" sqref="C12:F12" xr:uid="{00000000-0002-0000-0000-000004000000}">
      <formula1>DesignList</formula1>
    </dataValidation>
    <dataValidation allowBlank="1" showInputMessage="1" showErrorMessage="1" prompt="Please enter full name or leave blank if same as billing address" sqref="H7" xr:uid="{00000000-0002-0000-0000-000005000000}"/>
    <dataValidation allowBlank="1" showInputMessage="1" showErrorMessage="1" prompt="Please enter city and post code" sqref="H10 B10" xr:uid="{00000000-0002-0000-0000-000006000000}"/>
    <dataValidation allowBlank="1" showInputMessage="1" showErrorMessage="1" prompt="Please enter address" sqref="H8 B8" xr:uid="{00000000-0002-0000-0000-000007000000}"/>
    <dataValidation allowBlank="1" showInputMessage="1" showErrorMessage="1" prompt="Please enter full name" sqref="B7" xr:uid="{00000000-0002-0000-0000-000008000000}"/>
    <dataValidation type="list" allowBlank="1" showInputMessage="1" showErrorMessage="1" sqref="C20:C48" xr:uid="{00000000-0002-0000-0000-000009000000}">
      <formula1>INDIRECT($B20)</formula1>
    </dataValidation>
    <dataValidation type="list" allowBlank="1" showInputMessage="1" showErrorMessage="1" sqref="B20:B48" xr:uid="{00000000-0002-0000-0000-00000A000000}">
      <formula1>Type</formula1>
    </dataValidation>
    <dataValidation type="list" allowBlank="1" showInputMessage="1" showErrorMessage="1" sqref="C16:F16" xr:uid="{F654AC2B-0F44-41DA-8D1F-90D15E6D5263}">
      <formula1>INDIRECT(C15)</formula1>
    </dataValidation>
    <dataValidation type="list" allowBlank="1" showInputMessage="1" showErrorMessage="1" sqref="C13:F13" xr:uid="{0B72DA06-B1FC-4EE0-B57B-4085E4D59041}">
      <formula1>INDIRECT($I13)</formula1>
    </dataValidation>
    <dataValidation type="whole" errorStyle="warning" operator="lessThanOrEqual" allowBlank="1" showErrorMessage="1" errorTitle="Too big" error="Maximum height is 2440" promptTitle="Max height" prompt="Maximum height is 2440mm." sqref="C52:C101" xr:uid="{1A8DB25A-7AB6-4204-8943-5B082620FE6B}">
      <formula1>2440</formula1>
    </dataValidation>
    <dataValidation type="whole" operator="lessThanOrEqual" allowBlank="1" showErrorMessage="1" errorTitle="Too Big" error="Maximum size is 2440x1220mm" prompt="Max size is 2440x1220mm" sqref="D52:D101" xr:uid="{2C2E8524-576D-4FE2-95DA-71F689AC2EC6}">
      <formula1>IF($C52&gt;1220,1220,2440)</formula1>
    </dataValidation>
    <dataValidation type="list" allowBlank="1" showInputMessage="1" showErrorMessage="1" sqref="B52:B101" xr:uid="{4BA953D0-9F74-4878-B896-BC820F5B6EDC}">
      <formula1>Type2</formula1>
    </dataValidation>
  </dataValidations>
  <pageMargins left="0.15748031496062992" right="0.15748031496062992" top="0.39370078740157483" bottom="0.35433070866141736" header="0" footer="0"/>
  <pageSetup paperSize="9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000-000002000000}">
            <xm:f>C12=PriceList!$B$171</xm:f>
            <x14:dxf>
              <fill>
                <patternFill>
                  <bgColor rgb="FFA8C4BF"/>
                </patternFill>
              </fill>
            </x14:dxf>
          </x14:cfRule>
          <xm:sqref>G13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B000000}">
          <x14:formula1>
            <xm:f>PriceList!$B$175:$B$176</xm:f>
          </x14:formula1>
          <xm:sqref>C14:F14</xm:sqref>
        </x14:dataValidation>
        <x14:dataValidation type="list" allowBlank="1" showInputMessage="1" showErrorMessage="1" xr:uid="{D0656181-6203-4974-B122-337C81464EB3}">
          <x14:formula1>
            <xm:f>PriceList!$B$124:$B$127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4"/>
  <sheetViews>
    <sheetView showGridLines="0" zoomScaleNormal="100" workbookViewId="0">
      <pane xSplit="2" topLeftCell="D1" activePane="topRight" state="frozen"/>
      <selection activeCell="E17" sqref="E17"/>
      <selection pane="topRight" activeCell="A153" sqref="A153:XFD221"/>
    </sheetView>
  </sheetViews>
  <sheetFormatPr defaultColWidth="8.86328125" defaultRowHeight="14.65" x14ac:dyDescent="0.5"/>
  <cols>
    <col min="2" max="2" width="25.3984375" style="3" customWidth="1"/>
    <col min="3" max="3" width="18.3984375" style="1" customWidth="1"/>
    <col min="4" max="4" width="20" style="1" customWidth="1"/>
    <col min="5" max="6" width="27.59765625" style="2" customWidth="1"/>
    <col min="7" max="7" width="21.53125" style="2" customWidth="1"/>
    <col min="8" max="8" width="24.9296875" style="2" customWidth="1"/>
    <col min="9" max="9" width="27.33203125" style="2" customWidth="1"/>
    <col min="10" max="10" width="26.9296875" style="2" customWidth="1"/>
    <col min="11" max="11" width="29.265625" customWidth="1"/>
  </cols>
  <sheetData>
    <row r="2" spans="2:11" ht="25.15" x14ac:dyDescent="0.9">
      <c r="B2" s="6" t="s">
        <v>14</v>
      </c>
    </row>
    <row r="4" spans="2:11" x14ac:dyDescent="0.5">
      <c r="B4" s="47" t="s">
        <v>15</v>
      </c>
      <c r="C4" s="48" t="s">
        <v>10</v>
      </c>
      <c r="D4" s="48" t="s">
        <v>16</v>
      </c>
      <c r="E4" s="48" t="s">
        <v>17</v>
      </c>
      <c r="F4" s="48" t="s">
        <v>149</v>
      </c>
      <c r="G4" s="48" t="s">
        <v>185</v>
      </c>
      <c r="H4" s="132" t="s">
        <v>199</v>
      </c>
      <c r="I4" s="132" t="s">
        <v>111</v>
      </c>
      <c r="J4" s="132" t="s">
        <v>169</v>
      </c>
      <c r="K4" s="69" t="s">
        <v>168</v>
      </c>
    </row>
    <row r="5" spans="2:11" x14ac:dyDescent="0.5">
      <c r="B5" s="49" t="s">
        <v>18</v>
      </c>
      <c r="C5" s="48">
        <v>48</v>
      </c>
      <c r="D5" s="48">
        <v>75</v>
      </c>
      <c r="E5" s="48">
        <v>116</v>
      </c>
      <c r="F5" s="48">
        <v>91</v>
      </c>
      <c r="G5" s="48">
        <v>93</v>
      </c>
      <c r="H5" s="63">
        <v>108</v>
      </c>
      <c r="I5" s="63">
        <v>43</v>
      </c>
      <c r="J5" s="109">
        <v>60</v>
      </c>
      <c r="K5" s="125">
        <v>90</v>
      </c>
    </row>
    <row r="6" spans="2:11" x14ac:dyDescent="0.5">
      <c r="B6" s="124" t="s">
        <v>38</v>
      </c>
      <c r="C6" s="125">
        <v>53</v>
      </c>
      <c r="D6" s="125">
        <v>83</v>
      </c>
      <c r="E6" s="125">
        <v>129</v>
      </c>
      <c r="F6" s="48">
        <v>102</v>
      </c>
      <c r="G6" s="48">
        <v>103</v>
      </c>
      <c r="H6" s="125">
        <v>120</v>
      </c>
      <c r="I6" s="125">
        <v>48</v>
      </c>
      <c r="J6" s="125">
        <v>54</v>
      </c>
      <c r="K6" s="125">
        <v>81</v>
      </c>
    </row>
    <row r="7" spans="2:11" x14ac:dyDescent="0.5">
      <c r="B7" s="124" t="s">
        <v>39</v>
      </c>
      <c r="C7" s="125">
        <v>67</v>
      </c>
      <c r="D7" s="125">
        <v>108</v>
      </c>
      <c r="E7" s="125">
        <v>170</v>
      </c>
      <c r="F7" s="48">
        <v>133</v>
      </c>
      <c r="G7" s="48">
        <v>135</v>
      </c>
      <c r="H7" s="125">
        <v>158</v>
      </c>
      <c r="I7" s="125">
        <v>63</v>
      </c>
      <c r="J7" s="125">
        <v>66</v>
      </c>
      <c r="K7" s="125">
        <v>99</v>
      </c>
    </row>
    <row r="8" spans="2:11" x14ac:dyDescent="0.5">
      <c r="B8" s="50" t="s">
        <v>19</v>
      </c>
      <c r="C8" s="48">
        <v>48</v>
      </c>
      <c r="D8" s="48">
        <v>75</v>
      </c>
      <c r="E8" s="48">
        <v>116</v>
      </c>
      <c r="F8" s="48">
        <v>91</v>
      </c>
      <c r="G8" s="48">
        <v>93</v>
      </c>
      <c r="H8" s="63">
        <v>108</v>
      </c>
      <c r="I8" s="63">
        <v>42</v>
      </c>
      <c r="J8" s="109">
        <v>48</v>
      </c>
      <c r="K8" s="125">
        <v>72</v>
      </c>
    </row>
    <row r="9" spans="2:11" x14ac:dyDescent="0.5">
      <c r="B9" s="50" t="s">
        <v>20</v>
      </c>
      <c r="C9" s="48">
        <v>67</v>
      </c>
      <c r="D9" s="48">
        <v>108</v>
      </c>
      <c r="E9" s="48">
        <v>170</v>
      </c>
      <c r="F9" s="48">
        <v>133</v>
      </c>
      <c r="G9" s="48">
        <v>135</v>
      </c>
      <c r="H9" s="63">
        <v>158</v>
      </c>
      <c r="I9" s="63">
        <v>62</v>
      </c>
      <c r="J9" s="109">
        <v>60</v>
      </c>
      <c r="K9" s="125">
        <v>90</v>
      </c>
    </row>
    <row r="10" spans="2:11" x14ac:dyDescent="0.5">
      <c r="B10" s="50" t="s">
        <v>21</v>
      </c>
      <c r="C10" s="48">
        <v>87</v>
      </c>
      <c r="D10" s="48">
        <v>142</v>
      </c>
      <c r="E10" s="48">
        <v>224</v>
      </c>
      <c r="F10" s="48">
        <v>175</v>
      </c>
      <c r="G10" s="48">
        <v>178</v>
      </c>
      <c r="H10" s="63">
        <v>207</v>
      </c>
      <c r="I10" s="63">
        <v>82</v>
      </c>
      <c r="J10" s="109">
        <v>72</v>
      </c>
      <c r="K10" s="125">
        <v>108</v>
      </c>
    </row>
    <row r="11" spans="2:11" x14ac:dyDescent="0.5">
      <c r="B11" s="50" t="s">
        <v>22</v>
      </c>
      <c r="C11" s="48">
        <v>107</v>
      </c>
      <c r="D11" s="48">
        <v>175</v>
      </c>
      <c r="E11" s="48">
        <v>278</v>
      </c>
      <c r="F11" s="48">
        <v>217</v>
      </c>
      <c r="G11" s="48">
        <v>220</v>
      </c>
      <c r="H11" s="63">
        <v>257</v>
      </c>
      <c r="I11" s="63">
        <v>103</v>
      </c>
      <c r="J11" s="109">
        <v>84</v>
      </c>
      <c r="K11" s="125">
        <v>126</v>
      </c>
    </row>
    <row r="12" spans="2:11" x14ac:dyDescent="0.5">
      <c r="B12" s="50" t="s">
        <v>23</v>
      </c>
      <c r="C12" s="48">
        <v>127</v>
      </c>
      <c r="D12" s="48">
        <v>208</v>
      </c>
      <c r="E12" s="48">
        <v>332</v>
      </c>
      <c r="F12" s="48">
        <v>258</v>
      </c>
      <c r="G12" s="48">
        <v>262</v>
      </c>
      <c r="H12" s="63">
        <v>307</v>
      </c>
      <c r="I12" s="63">
        <v>123</v>
      </c>
      <c r="J12" s="109">
        <v>96</v>
      </c>
      <c r="K12" s="125">
        <v>144</v>
      </c>
    </row>
    <row r="13" spans="2:11" x14ac:dyDescent="0.5">
      <c r="B13" s="50" t="s">
        <v>24</v>
      </c>
      <c r="C13" s="48">
        <v>147</v>
      </c>
      <c r="D13" s="48">
        <v>242</v>
      </c>
      <c r="E13" s="48">
        <v>386</v>
      </c>
      <c r="F13" s="48">
        <v>300</v>
      </c>
      <c r="G13" s="48">
        <v>305</v>
      </c>
      <c r="H13" s="63">
        <v>357</v>
      </c>
      <c r="I13" s="63">
        <v>143</v>
      </c>
      <c r="J13" s="109">
        <v>108</v>
      </c>
      <c r="K13" s="125">
        <v>162</v>
      </c>
    </row>
    <row r="14" spans="2:11" x14ac:dyDescent="0.5">
      <c r="B14" s="50" t="s">
        <v>25</v>
      </c>
      <c r="C14" s="48">
        <v>187</v>
      </c>
      <c r="D14" s="48">
        <v>309</v>
      </c>
      <c r="E14" s="48">
        <v>494</v>
      </c>
      <c r="F14" s="48">
        <v>384</v>
      </c>
      <c r="G14" s="48">
        <v>390</v>
      </c>
      <c r="H14" s="63">
        <v>457</v>
      </c>
      <c r="I14" s="63">
        <v>183</v>
      </c>
      <c r="J14" s="109">
        <v>132</v>
      </c>
      <c r="K14" s="125">
        <v>198</v>
      </c>
    </row>
    <row r="15" spans="2:11" x14ac:dyDescent="0.5">
      <c r="B15" s="50" t="s">
        <v>26</v>
      </c>
      <c r="C15" s="48">
        <v>207</v>
      </c>
      <c r="D15" s="48">
        <v>342</v>
      </c>
      <c r="E15" s="48">
        <v>548</v>
      </c>
      <c r="F15" s="48">
        <v>425</v>
      </c>
      <c r="G15" s="48">
        <v>432</v>
      </c>
      <c r="H15" s="63">
        <v>507</v>
      </c>
      <c r="I15" s="63">
        <v>203</v>
      </c>
      <c r="J15" s="109">
        <v>144</v>
      </c>
      <c r="K15" s="125">
        <v>216</v>
      </c>
    </row>
    <row r="16" spans="2:11" x14ac:dyDescent="0.5">
      <c r="B16" s="50" t="s">
        <v>27</v>
      </c>
      <c r="C16" s="48">
        <v>67</v>
      </c>
      <c r="D16" s="48">
        <v>108</v>
      </c>
      <c r="E16" s="48">
        <v>170</v>
      </c>
      <c r="F16" s="48">
        <v>133</v>
      </c>
      <c r="G16" s="48">
        <v>135</v>
      </c>
      <c r="H16" s="63">
        <v>158</v>
      </c>
      <c r="I16" s="63">
        <v>62</v>
      </c>
      <c r="J16" s="109">
        <v>60</v>
      </c>
      <c r="K16" s="125">
        <v>90</v>
      </c>
    </row>
    <row r="17" spans="2:11" x14ac:dyDescent="0.5">
      <c r="B17" s="50" t="s">
        <v>28</v>
      </c>
      <c r="C17" s="48">
        <v>97</v>
      </c>
      <c r="D17" s="48">
        <v>158</v>
      </c>
      <c r="E17" s="48">
        <v>251</v>
      </c>
      <c r="F17" s="48">
        <v>196</v>
      </c>
      <c r="G17" s="48">
        <v>199</v>
      </c>
      <c r="H17" s="63">
        <v>232</v>
      </c>
      <c r="I17" s="63">
        <v>92</v>
      </c>
      <c r="J17" s="109">
        <v>72</v>
      </c>
      <c r="K17" s="125">
        <v>108</v>
      </c>
    </row>
    <row r="18" spans="2:11" x14ac:dyDescent="0.5">
      <c r="B18" s="50" t="s">
        <v>29</v>
      </c>
      <c r="C18" s="48">
        <v>127</v>
      </c>
      <c r="D18" s="48">
        <v>208</v>
      </c>
      <c r="E18" s="48">
        <v>332</v>
      </c>
      <c r="F18" s="48">
        <v>258</v>
      </c>
      <c r="G18" s="48">
        <v>262</v>
      </c>
      <c r="H18" s="63">
        <v>307</v>
      </c>
      <c r="I18" s="63">
        <v>122</v>
      </c>
      <c r="J18" s="109">
        <v>84</v>
      </c>
      <c r="K18" s="125">
        <v>126</v>
      </c>
    </row>
    <row r="19" spans="2:11" x14ac:dyDescent="0.5">
      <c r="B19" s="131" t="s">
        <v>197</v>
      </c>
      <c r="C19" s="125">
        <v>127</v>
      </c>
      <c r="D19" s="125">
        <v>208</v>
      </c>
      <c r="E19" s="125">
        <v>332</v>
      </c>
      <c r="F19" s="48">
        <v>258</v>
      </c>
      <c r="G19" s="48">
        <v>262</v>
      </c>
      <c r="H19" s="125">
        <v>307</v>
      </c>
      <c r="I19" s="125">
        <v>122</v>
      </c>
      <c r="J19" s="125">
        <v>84</v>
      </c>
      <c r="K19" s="125">
        <v>126</v>
      </c>
    </row>
    <row r="20" spans="2:11" x14ac:dyDescent="0.5">
      <c r="B20" s="50" t="s">
        <v>30</v>
      </c>
      <c r="C20" s="48">
        <v>157</v>
      </c>
      <c r="D20" s="48">
        <v>259</v>
      </c>
      <c r="E20" s="48">
        <v>413</v>
      </c>
      <c r="F20" s="48">
        <v>321</v>
      </c>
      <c r="G20" s="48">
        <v>326</v>
      </c>
      <c r="H20" s="63">
        <v>382</v>
      </c>
      <c r="I20" s="63">
        <v>151</v>
      </c>
      <c r="J20" s="109">
        <v>96</v>
      </c>
      <c r="K20" s="125">
        <v>144</v>
      </c>
    </row>
    <row r="21" spans="2:11" x14ac:dyDescent="0.5">
      <c r="B21" s="50" t="s">
        <v>31</v>
      </c>
      <c r="C21" s="48">
        <v>187</v>
      </c>
      <c r="D21" s="48">
        <v>309</v>
      </c>
      <c r="E21" s="48">
        <v>494</v>
      </c>
      <c r="F21" s="48">
        <v>384</v>
      </c>
      <c r="G21" s="48">
        <v>390</v>
      </c>
      <c r="H21" s="63">
        <v>457</v>
      </c>
      <c r="I21" s="63">
        <v>181</v>
      </c>
      <c r="J21" s="109">
        <v>108</v>
      </c>
      <c r="K21" s="125">
        <v>162</v>
      </c>
    </row>
    <row r="22" spans="2:11" x14ac:dyDescent="0.5">
      <c r="B22" s="50" t="s">
        <v>32</v>
      </c>
      <c r="C22" s="48">
        <v>217</v>
      </c>
      <c r="D22" s="48">
        <v>359</v>
      </c>
      <c r="E22" s="48">
        <v>575</v>
      </c>
      <c r="F22" s="48">
        <v>446</v>
      </c>
      <c r="G22" s="48">
        <v>453</v>
      </c>
      <c r="H22" s="63">
        <v>532</v>
      </c>
      <c r="I22" s="63">
        <v>211</v>
      </c>
      <c r="J22" s="109">
        <v>120</v>
      </c>
      <c r="K22" s="125">
        <v>180</v>
      </c>
    </row>
    <row r="23" spans="2:11" x14ac:dyDescent="0.5">
      <c r="B23" s="50" t="s">
        <v>33</v>
      </c>
      <c r="C23" s="48">
        <v>276</v>
      </c>
      <c r="D23" s="48">
        <v>459</v>
      </c>
      <c r="E23" s="48">
        <v>737</v>
      </c>
      <c r="F23" s="48">
        <v>572</v>
      </c>
      <c r="G23" s="48">
        <v>581</v>
      </c>
      <c r="H23" s="63">
        <v>682</v>
      </c>
      <c r="I23" s="63">
        <v>270</v>
      </c>
      <c r="J23" s="109">
        <v>144</v>
      </c>
      <c r="K23" s="125">
        <v>216</v>
      </c>
    </row>
    <row r="24" spans="2:11" x14ac:dyDescent="0.5">
      <c r="B24" s="50" t="s">
        <v>34</v>
      </c>
      <c r="C24" s="48">
        <v>306</v>
      </c>
      <c r="D24" s="48">
        <v>509</v>
      </c>
      <c r="E24" s="48">
        <v>818</v>
      </c>
      <c r="F24" s="48">
        <v>634</v>
      </c>
      <c r="G24" s="48">
        <v>644</v>
      </c>
      <c r="H24" s="63">
        <v>757</v>
      </c>
      <c r="I24" s="63">
        <v>300</v>
      </c>
      <c r="J24" s="109">
        <v>156</v>
      </c>
      <c r="K24" s="125">
        <v>234</v>
      </c>
    </row>
    <row r="25" spans="2:11" x14ac:dyDescent="0.5">
      <c r="B25" s="51" t="s">
        <v>35</v>
      </c>
      <c r="C25" s="48">
        <v>110</v>
      </c>
      <c r="D25" s="48">
        <v>179</v>
      </c>
      <c r="E25" s="48">
        <v>285</v>
      </c>
      <c r="F25" s="48">
        <v>222</v>
      </c>
      <c r="G25" s="48">
        <v>225</v>
      </c>
      <c r="H25" s="63">
        <v>264</v>
      </c>
      <c r="I25" s="63">
        <v>108</v>
      </c>
      <c r="J25" s="109">
        <v>253</v>
      </c>
      <c r="K25" s="125">
        <v>379</v>
      </c>
    </row>
    <row r="26" spans="2:11" x14ac:dyDescent="0.5">
      <c r="C26" s="28"/>
      <c r="D26" s="28"/>
      <c r="E26" s="28"/>
      <c r="F26" s="28"/>
      <c r="G26" s="28"/>
      <c r="H26" s="28"/>
      <c r="I26" s="28"/>
      <c r="J26" s="28"/>
    </row>
    <row r="27" spans="2:11" x14ac:dyDescent="0.5">
      <c r="B27" s="58" t="s">
        <v>36</v>
      </c>
      <c r="C27" s="59" t="s">
        <v>10</v>
      </c>
      <c r="D27" s="59" t="s">
        <v>16</v>
      </c>
      <c r="E27" s="59" t="s">
        <v>17</v>
      </c>
      <c r="F27" s="48" t="s">
        <v>149</v>
      </c>
      <c r="G27" s="48" t="s">
        <v>185</v>
      </c>
      <c r="H27" s="132" t="s">
        <v>199</v>
      </c>
      <c r="I27" s="138" t="s">
        <v>111</v>
      </c>
      <c r="J27" s="138" t="s">
        <v>169</v>
      </c>
      <c r="K27" s="138" t="s">
        <v>168</v>
      </c>
    </row>
    <row r="28" spans="2:11" x14ac:dyDescent="0.5">
      <c r="B28" s="60" t="s">
        <v>37</v>
      </c>
      <c r="C28" s="53">
        <v>40</v>
      </c>
      <c r="D28" s="53">
        <v>62</v>
      </c>
      <c r="E28" s="52">
        <v>96</v>
      </c>
      <c r="F28" s="91">
        <v>76</v>
      </c>
      <c r="G28" s="91">
        <v>77</v>
      </c>
      <c r="H28" s="67">
        <v>89</v>
      </c>
      <c r="I28" s="67">
        <v>35</v>
      </c>
      <c r="J28" s="67">
        <v>43</v>
      </c>
      <c r="K28" s="7">
        <v>64</v>
      </c>
    </row>
    <row r="29" spans="2:11" x14ac:dyDescent="0.5">
      <c r="B29" s="60" t="s">
        <v>38</v>
      </c>
      <c r="C29" s="53">
        <v>55</v>
      </c>
      <c r="D29" s="53">
        <v>87</v>
      </c>
      <c r="E29" s="52">
        <v>136</v>
      </c>
      <c r="F29" s="91">
        <v>107</v>
      </c>
      <c r="G29" s="91">
        <v>109</v>
      </c>
      <c r="H29" s="67">
        <v>126</v>
      </c>
      <c r="I29" s="67">
        <v>50</v>
      </c>
      <c r="J29" s="67">
        <v>55</v>
      </c>
      <c r="K29" s="7">
        <v>82</v>
      </c>
    </row>
    <row r="30" spans="2:11" x14ac:dyDescent="0.5">
      <c r="B30" s="60" t="s">
        <v>39</v>
      </c>
      <c r="C30" s="53">
        <v>70</v>
      </c>
      <c r="D30" s="53">
        <v>112</v>
      </c>
      <c r="E30" s="52">
        <v>177</v>
      </c>
      <c r="F30" s="91">
        <v>138</v>
      </c>
      <c r="G30" s="91">
        <v>140</v>
      </c>
      <c r="H30" s="67">
        <v>164</v>
      </c>
      <c r="I30" s="67">
        <v>65</v>
      </c>
      <c r="J30" s="67">
        <v>67</v>
      </c>
      <c r="K30" s="7">
        <v>100</v>
      </c>
    </row>
    <row r="31" spans="2:11" x14ac:dyDescent="0.5">
      <c r="B31" s="60" t="s">
        <v>40</v>
      </c>
      <c r="C31" s="53">
        <v>82</v>
      </c>
      <c r="D31" s="53">
        <v>133</v>
      </c>
      <c r="E31" s="52">
        <v>210</v>
      </c>
      <c r="F31" s="91">
        <v>164</v>
      </c>
      <c r="G31" s="91">
        <v>167</v>
      </c>
      <c r="H31" s="67">
        <v>195</v>
      </c>
      <c r="I31" s="67">
        <v>78</v>
      </c>
      <c r="J31" s="67">
        <v>79</v>
      </c>
      <c r="K31" s="7">
        <v>118</v>
      </c>
    </row>
    <row r="32" spans="2:11" x14ac:dyDescent="0.5">
      <c r="B32" s="60" t="s">
        <v>19</v>
      </c>
      <c r="C32" s="53">
        <v>50</v>
      </c>
      <c r="D32" s="53">
        <v>79</v>
      </c>
      <c r="E32" s="52">
        <v>123</v>
      </c>
      <c r="F32" s="91">
        <v>97</v>
      </c>
      <c r="G32" s="91">
        <v>98</v>
      </c>
      <c r="H32" s="67">
        <v>114</v>
      </c>
      <c r="I32" s="67">
        <v>45</v>
      </c>
      <c r="J32" s="67">
        <v>49</v>
      </c>
      <c r="K32" s="7">
        <v>73</v>
      </c>
    </row>
    <row r="33" spans="2:11" x14ac:dyDescent="0.5">
      <c r="B33" s="60" t="s">
        <v>20</v>
      </c>
      <c r="C33" s="53">
        <v>70</v>
      </c>
      <c r="D33" s="53">
        <v>112</v>
      </c>
      <c r="E33" s="52">
        <v>177</v>
      </c>
      <c r="F33" s="91">
        <v>138</v>
      </c>
      <c r="G33" s="91">
        <v>140</v>
      </c>
      <c r="H33" s="67">
        <v>164</v>
      </c>
      <c r="I33" s="67">
        <v>65</v>
      </c>
      <c r="J33" s="67">
        <v>61</v>
      </c>
      <c r="K33" s="7">
        <v>91</v>
      </c>
    </row>
    <row r="34" spans="2:11" x14ac:dyDescent="0.5">
      <c r="B34" s="60" t="s">
        <v>21</v>
      </c>
      <c r="C34" s="53">
        <v>90</v>
      </c>
      <c r="D34" s="53">
        <v>146</v>
      </c>
      <c r="E34" s="52">
        <v>231</v>
      </c>
      <c r="F34" s="91">
        <v>180</v>
      </c>
      <c r="G34" s="91">
        <v>183</v>
      </c>
      <c r="H34" s="67">
        <v>214</v>
      </c>
      <c r="I34" s="67">
        <v>85</v>
      </c>
      <c r="J34" s="67">
        <v>73</v>
      </c>
      <c r="K34" s="7">
        <v>109</v>
      </c>
    </row>
    <row r="35" spans="2:11" x14ac:dyDescent="0.5">
      <c r="B35" s="54" t="s">
        <v>22</v>
      </c>
      <c r="C35" s="55">
        <v>110</v>
      </c>
      <c r="D35" s="55">
        <v>179</v>
      </c>
      <c r="E35" s="56">
        <v>285</v>
      </c>
      <c r="F35" s="91">
        <v>222</v>
      </c>
      <c r="G35" s="91">
        <v>225</v>
      </c>
      <c r="H35" s="67">
        <v>264</v>
      </c>
      <c r="I35" s="67">
        <v>105</v>
      </c>
      <c r="J35" s="67">
        <v>85</v>
      </c>
      <c r="K35" s="7">
        <v>127</v>
      </c>
    </row>
    <row r="36" spans="2:11" x14ac:dyDescent="0.5">
      <c r="B36" s="99" t="s">
        <v>27</v>
      </c>
      <c r="C36" s="100">
        <v>70</v>
      </c>
      <c r="D36" s="100">
        <v>112</v>
      </c>
      <c r="E36" s="101">
        <v>177</v>
      </c>
      <c r="F36" s="91">
        <v>138</v>
      </c>
      <c r="G36" s="91">
        <v>140</v>
      </c>
      <c r="H36" s="67">
        <v>164</v>
      </c>
      <c r="I36" s="67">
        <v>65</v>
      </c>
      <c r="J36" s="67">
        <v>61</v>
      </c>
      <c r="K36" s="7">
        <v>91</v>
      </c>
    </row>
    <row r="37" spans="2:11" x14ac:dyDescent="0.5">
      <c r="B37" s="99" t="s">
        <v>28</v>
      </c>
      <c r="C37" s="100">
        <v>100</v>
      </c>
      <c r="D37" s="100">
        <v>162</v>
      </c>
      <c r="E37" s="101">
        <v>258</v>
      </c>
      <c r="F37" s="91">
        <v>201</v>
      </c>
      <c r="G37" s="91">
        <v>204</v>
      </c>
      <c r="H37" s="67">
        <v>239</v>
      </c>
      <c r="I37" s="67">
        <v>95</v>
      </c>
      <c r="J37" s="67">
        <v>73</v>
      </c>
      <c r="K37" s="7">
        <v>109</v>
      </c>
    </row>
    <row r="38" spans="2:11" x14ac:dyDescent="0.5">
      <c r="B38" s="99" t="s">
        <v>29</v>
      </c>
      <c r="C38" s="100">
        <v>130</v>
      </c>
      <c r="D38" s="100">
        <v>213</v>
      </c>
      <c r="E38" s="101">
        <v>339</v>
      </c>
      <c r="F38" s="91">
        <v>264</v>
      </c>
      <c r="G38" s="91">
        <v>268</v>
      </c>
      <c r="H38" s="67">
        <v>314</v>
      </c>
      <c r="I38" s="67">
        <v>124</v>
      </c>
      <c r="J38" s="67">
        <v>85</v>
      </c>
      <c r="K38" s="7">
        <v>127</v>
      </c>
    </row>
    <row r="39" spans="2:11" x14ac:dyDescent="0.5">
      <c r="B39" s="102" t="s">
        <v>30</v>
      </c>
      <c r="C39" s="103">
        <v>159</v>
      </c>
      <c r="D39" s="103">
        <v>263</v>
      </c>
      <c r="E39" s="104">
        <v>420</v>
      </c>
      <c r="F39" s="91">
        <v>326</v>
      </c>
      <c r="G39" s="91">
        <v>331</v>
      </c>
      <c r="H39" s="105">
        <v>388</v>
      </c>
      <c r="I39" s="105">
        <v>154</v>
      </c>
      <c r="J39" s="67">
        <v>97</v>
      </c>
      <c r="K39" s="7">
        <v>145</v>
      </c>
    </row>
    <row r="40" spans="2:11" x14ac:dyDescent="0.5">
      <c r="B40" s="35"/>
      <c r="C40" s="36"/>
      <c r="D40" s="36"/>
      <c r="E40" s="36"/>
      <c r="F40" s="28"/>
      <c r="G40" s="28"/>
      <c r="H40" s="28"/>
      <c r="I40" s="28"/>
      <c r="J40" s="28"/>
    </row>
    <row r="41" spans="2:11" x14ac:dyDescent="0.5">
      <c r="B41" s="35" t="s">
        <v>41</v>
      </c>
      <c r="C41" s="36" t="s">
        <v>10</v>
      </c>
      <c r="D41" s="36" t="s">
        <v>16</v>
      </c>
      <c r="E41" s="36" t="s">
        <v>17</v>
      </c>
      <c r="F41" s="48" t="s">
        <v>149</v>
      </c>
      <c r="G41" s="48" t="s">
        <v>185</v>
      </c>
      <c r="H41" s="132" t="s">
        <v>199</v>
      </c>
      <c r="I41" s="139" t="s">
        <v>111</v>
      </c>
      <c r="J41" s="132" t="s">
        <v>169</v>
      </c>
      <c r="K41" s="132" t="s">
        <v>168</v>
      </c>
    </row>
    <row r="42" spans="2:11" x14ac:dyDescent="0.5">
      <c r="B42" s="35" t="s">
        <v>19</v>
      </c>
      <c r="C42" s="36">
        <v>43</v>
      </c>
      <c r="D42" s="36">
        <v>72</v>
      </c>
      <c r="E42" s="36">
        <v>115</v>
      </c>
      <c r="F42" s="36">
        <v>89</v>
      </c>
      <c r="G42" s="36">
        <v>91</v>
      </c>
      <c r="H42" s="68">
        <v>107</v>
      </c>
      <c r="I42" s="68">
        <v>45</v>
      </c>
      <c r="J42" s="110">
        <v>49</v>
      </c>
      <c r="K42" s="139">
        <v>73</v>
      </c>
    </row>
    <row r="43" spans="2:11" x14ac:dyDescent="0.5">
      <c r="B43" s="35" t="s">
        <v>27</v>
      </c>
      <c r="C43" s="36">
        <v>63</v>
      </c>
      <c r="D43" s="36">
        <v>105</v>
      </c>
      <c r="E43" s="36">
        <v>169</v>
      </c>
      <c r="F43" s="36">
        <v>131</v>
      </c>
      <c r="G43" s="36">
        <v>133</v>
      </c>
      <c r="H43" s="68">
        <v>156</v>
      </c>
      <c r="I43" s="68">
        <v>65</v>
      </c>
      <c r="J43" s="110">
        <v>61</v>
      </c>
      <c r="K43" s="139">
        <v>91</v>
      </c>
    </row>
    <row r="44" spans="2:11" x14ac:dyDescent="0.5">
      <c r="B44" s="35" t="s">
        <v>42</v>
      </c>
      <c r="C44" s="36">
        <v>83</v>
      </c>
      <c r="D44" s="36">
        <v>138</v>
      </c>
      <c r="E44" s="36">
        <v>223</v>
      </c>
      <c r="F44" s="36">
        <v>173</v>
      </c>
      <c r="G44" s="36">
        <v>176</v>
      </c>
      <c r="H44" s="68">
        <v>206</v>
      </c>
      <c r="I44" s="68">
        <v>85</v>
      </c>
      <c r="J44" s="110">
        <v>73</v>
      </c>
      <c r="K44" s="139">
        <v>109</v>
      </c>
    </row>
    <row r="45" spans="2:11" x14ac:dyDescent="0.5">
      <c r="B45" s="50" t="s">
        <v>43</v>
      </c>
      <c r="C45" s="48">
        <v>102</v>
      </c>
      <c r="D45" s="48">
        <v>172</v>
      </c>
      <c r="E45" s="48">
        <v>277</v>
      </c>
      <c r="F45" s="48">
        <v>215</v>
      </c>
      <c r="G45" s="48">
        <v>218</v>
      </c>
      <c r="H45" s="68">
        <v>256</v>
      </c>
      <c r="I45" s="68">
        <v>105</v>
      </c>
      <c r="J45" s="110">
        <v>85</v>
      </c>
      <c r="K45" s="139">
        <v>127</v>
      </c>
    </row>
    <row r="46" spans="2:11" x14ac:dyDescent="0.5">
      <c r="B46" s="50"/>
      <c r="C46" s="48"/>
      <c r="D46" s="48"/>
      <c r="E46" s="52"/>
    </row>
    <row r="47" spans="2:11" x14ac:dyDescent="0.5">
      <c r="B47" s="50" t="s">
        <v>109</v>
      </c>
      <c r="C47" s="53" t="s">
        <v>10</v>
      </c>
      <c r="D47" s="53" t="s">
        <v>16</v>
      </c>
      <c r="E47" s="52" t="s">
        <v>17</v>
      </c>
      <c r="F47" s="48" t="s">
        <v>149</v>
      </c>
      <c r="G47" s="48" t="s">
        <v>185</v>
      </c>
      <c r="H47" s="132" t="s">
        <v>199</v>
      </c>
      <c r="I47" s="63" t="s">
        <v>111</v>
      </c>
      <c r="J47" s="48" t="s">
        <v>169</v>
      </c>
      <c r="K47" s="125" t="s">
        <v>168</v>
      </c>
    </row>
    <row r="48" spans="2:11" x14ac:dyDescent="0.5">
      <c r="B48" s="50" t="s">
        <v>102</v>
      </c>
      <c r="C48" s="53">
        <v>18</v>
      </c>
      <c r="D48" s="53">
        <v>25</v>
      </c>
      <c r="E48" s="52">
        <v>35</v>
      </c>
      <c r="F48" s="91">
        <v>29</v>
      </c>
      <c r="G48" s="91">
        <v>29</v>
      </c>
      <c r="H48" s="38">
        <v>33</v>
      </c>
      <c r="I48" s="38">
        <v>12</v>
      </c>
      <c r="J48" s="108">
        <v>30</v>
      </c>
      <c r="K48" s="135">
        <v>45</v>
      </c>
    </row>
    <row r="49" spans="1:11" x14ac:dyDescent="0.5">
      <c r="B49" s="50" t="s">
        <v>103</v>
      </c>
      <c r="C49" s="53">
        <v>28</v>
      </c>
      <c r="D49" s="53">
        <v>41</v>
      </c>
      <c r="E49" s="52">
        <v>62</v>
      </c>
      <c r="F49" s="91">
        <v>50</v>
      </c>
      <c r="G49" s="91">
        <v>50</v>
      </c>
      <c r="H49" s="38">
        <v>58</v>
      </c>
      <c r="I49" s="38">
        <v>22</v>
      </c>
      <c r="J49" s="108">
        <v>36</v>
      </c>
      <c r="K49" s="135">
        <v>54</v>
      </c>
    </row>
    <row r="50" spans="1:11" x14ac:dyDescent="0.5">
      <c r="B50" s="50" t="s">
        <v>19</v>
      </c>
      <c r="C50" s="53">
        <v>48</v>
      </c>
      <c r="D50" s="53">
        <v>75</v>
      </c>
      <c r="E50" s="52">
        <v>116</v>
      </c>
      <c r="F50" s="91">
        <v>91</v>
      </c>
      <c r="G50" s="91">
        <v>93</v>
      </c>
      <c r="H50" s="38">
        <v>108</v>
      </c>
      <c r="I50" s="38">
        <v>42</v>
      </c>
      <c r="J50" s="108">
        <v>48</v>
      </c>
      <c r="K50" s="135">
        <v>72</v>
      </c>
    </row>
    <row r="51" spans="1:11" x14ac:dyDescent="0.5">
      <c r="B51" s="50" t="s">
        <v>20</v>
      </c>
      <c r="C51" s="53">
        <v>67</v>
      </c>
      <c r="D51" s="53">
        <v>108</v>
      </c>
      <c r="E51" s="52">
        <v>170</v>
      </c>
      <c r="F51" s="91">
        <v>133</v>
      </c>
      <c r="G51" s="91">
        <v>135</v>
      </c>
      <c r="H51" s="38">
        <v>158</v>
      </c>
      <c r="I51" s="38">
        <v>62</v>
      </c>
      <c r="J51" s="108">
        <v>60</v>
      </c>
      <c r="K51" s="135">
        <v>90</v>
      </c>
    </row>
    <row r="52" spans="1:11" x14ac:dyDescent="0.5">
      <c r="B52" s="50" t="s">
        <v>104</v>
      </c>
      <c r="C52" s="53">
        <v>23</v>
      </c>
      <c r="D52" s="53">
        <v>33</v>
      </c>
      <c r="E52" s="52">
        <v>48</v>
      </c>
      <c r="F52" s="91">
        <v>39</v>
      </c>
      <c r="G52" s="91">
        <v>40</v>
      </c>
      <c r="H52" s="38">
        <v>45</v>
      </c>
      <c r="I52" s="38">
        <v>18</v>
      </c>
      <c r="J52" s="108">
        <v>42</v>
      </c>
      <c r="K52" s="135">
        <v>63</v>
      </c>
    </row>
    <row r="53" spans="1:11" x14ac:dyDescent="0.5">
      <c r="B53" s="50" t="s">
        <v>105</v>
      </c>
      <c r="C53" s="53">
        <v>38</v>
      </c>
      <c r="D53" s="53">
        <v>58</v>
      </c>
      <c r="E53" s="52">
        <v>89</v>
      </c>
      <c r="F53" s="91">
        <v>70</v>
      </c>
      <c r="G53" s="91">
        <v>71</v>
      </c>
      <c r="H53" s="38">
        <v>83</v>
      </c>
      <c r="I53" s="38">
        <v>33</v>
      </c>
      <c r="J53" s="108">
        <v>48</v>
      </c>
      <c r="K53" s="135">
        <v>72</v>
      </c>
    </row>
    <row r="54" spans="1:11" x14ac:dyDescent="0.5">
      <c r="B54" s="29" t="s">
        <v>27</v>
      </c>
      <c r="C54" s="2">
        <v>67</v>
      </c>
      <c r="D54" s="2">
        <v>108</v>
      </c>
      <c r="E54" s="2">
        <v>170</v>
      </c>
      <c r="F54" s="2">
        <v>133</v>
      </c>
      <c r="G54" s="2">
        <v>135</v>
      </c>
      <c r="H54" s="38">
        <v>158</v>
      </c>
      <c r="I54" s="38">
        <v>62</v>
      </c>
      <c r="J54" s="108">
        <v>60</v>
      </c>
      <c r="K54" s="135">
        <v>90</v>
      </c>
    </row>
    <row r="55" spans="1:11" x14ac:dyDescent="0.5">
      <c r="B55" s="29" t="s">
        <v>28</v>
      </c>
      <c r="C55" s="2">
        <v>97</v>
      </c>
      <c r="D55" s="2">
        <v>158</v>
      </c>
      <c r="E55" s="2">
        <v>251</v>
      </c>
      <c r="F55" s="2">
        <v>196</v>
      </c>
      <c r="G55" s="2">
        <v>199</v>
      </c>
      <c r="H55" s="38">
        <v>232</v>
      </c>
      <c r="I55" s="38">
        <v>92</v>
      </c>
      <c r="J55" s="108">
        <v>72</v>
      </c>
      <c r="K55" s="135">
        <v>108</v>
      </c>
    </row>
    <row r="56" spans="1:11" s="7" customFormat="1" x14ac:dyDescent="0.5">
      <c r="A56"/>
      <c r="B56" s="37" t="s">
        <v>106</v>
      </c>
      <c r="C56" s="38">
        <v>28</v>
      </c>
      <c r="D56" s="38">
        <v>41</v>
      </c>
      <c r="E56" s="38">
        <v>62</v>
      </c>
      <c r="F56" s="38">
        <v>50</v>
      </c>
      <c r="G56" s="38">
        <v>50</v>
      </c>
      <c r="H56" s="38">
        <v>58</v>
      </c>
      <c r="I56" s="38">
        <v>24</v>
      </c>
      <c r="J56" s="108">
        <v>54</v>
      </c>
      <c r="K56" s="125">
        <v>81</v>
      </c>
    </row>
    <row r="57" spans="1:11" x14ac:dyDescent="0.5">
      <c r="B57" s="37" t="s">
        <v>107</v>
      </c>
      <c r="C57" s="38">
        <v>48</v>
      </c>
      <c r="D57" s="38">
        <v>75</v>
      </c>
      <c r="E57" s="38">
        <v>116</v>
      </c>
      <c r="F57" s="38">
        <v>91</v>
      </c>
      <c r="G57" s="38">
        <v>93</v>
      </c>
      <c r="H57" s="38">
        <v>108</v>
      </c>
      <c r="I57" s="38">
        <v>43</v>
      </c>
      <c r="J57" s="108">
        <v>60</v>
      </c>
      <c r="K57" s="135">
        <v>90</v>
      </c>
    </row>
    <row r="58" spans="1:11" s="7" customFormat="1" x14ac:dyDescent="0.5">
      <c r="A58"/>
      <c r="B58" s="37" t="s">
        <v>42</v>
      </c>
      <c r="C58" s="38">
        <v>87</v>
      </c>
      <c r="D58" s="38">
        <v>142</v>
      </c>
      <c r="E58" s="38">
        <v>224</v>
      </c>
      <c r="F58" s="38">
        <v>175</v>
      </c>
      <c r="G58" s="38">
        <v>178</v>
      </c>
      <c r="H58" s="38">
        <v>207</v>
      </c>
      <c r="I58" s="38">
        <v>82</v>
      </c>
      <c r="J58" s="108">
        <v>72</v>
      </c>
      <c r="K58" s="125">
        <v>108</v>
      </c>
    </row>
    <row r="59" spans="1:11" s="7" customFormat="1" x14ac:dyDescent="0.5">
      <c r="A59"/>
      <c r="B59" s="37" t="s">
        <v>108</v>
      </c>
      <c r="C59" s="38">
        <v>127</v>
      </c>
      <c r="D59" s="38">
        <v>208</v>
      </c>
      <c r="E59" s="38">
        <v>332</v>
      </c>
      <c r="F59" s="38">
        <v>258</v>
      </c>
      <c r="G59" s="38">
        <v>262</v>
      </c>
      <c r="H59" s="38">
        <v>307</v>
      </c>
      <c r="I59" s="38">
        <v>122</v>
      </c>
      <c r="J59" s="108">
        <v>84</v>
      </c>
      <c r="K59" s="125">
        <v>126</v>
      </c>
    </row>
    <row r="60" spans="1:11" s="7" customFormat="1" x14ac:dyDescent="0.5">
      <c r="A60"/>
      <c r="B60" s="31"/>
      <c r="C60" s="32"/>
      <c r="D60" s="32"/>
      <c r="E60" s="32"/>
      <c r="F60" s="2"/>
      <c r="G60" s="2"/>
      <c r="H60" s="2"/>
      <c r="I60" s="2"/>
      <c r="J60" s="2"/>
    </row>
    <row r="61" spans="1:11" s="7" customFormat="1" x14ac:dyDescent="0.5">
      <c r="A61"/>
      <c r="B61" s="31" t="s">
        <v>99</v>
      </c>
      <c r="C61" s="31" t="s">
        <v>10</v>
      </c>
      <c r="D61" s="31" t="s">
        <v>16</v>
      </c>
      <c r="E61" s="31" t="s">
        <v>17</v>
      </c>
      <c r="F61" s="48" t="s">
        <v>149</v>
      </c>
      <c r="G61" s="48" t="s">
        <v>185</v>
      </c>
      <c r="H61" s="132" t="s">
        <v>199</v>
      </c>
      <c r="I61" s="63" t="s">
        <v>111</v>
      </c>
      <c r="J61" s="48" t="s">
        <v>169</v>
      </c>
      <c r="K61" s="140" t="s">
        <v>168</v>
      </c>
    </row>
    <row r="62" spans="1:11" s="7" customFormat="1" x14ac:dyDescent="0.5">
      <c r="A62"/>
      <c r="B62" s="37" t="s">
        <v>45</v>
      </c>
      <c r="C62" s="38">
        <v>40</v>
      </c>
      <c r="D62" s="38">
        <v>67</v>
      </c>
      <c r="E62" s="38">
        <v>108</v>
      </c>
      <c r="F62" s="38">
        <v>84</v>
      </c>
      <c r="G62" s="38">
        <v>85</v>
      </c>
      <c r="H62" s="38">
        <v>100</v>
      </c>
      <c r="I62" s="38">
        <v>42</v>
      </c>
      <c r="J62" s="108">
        <v>48</v>
      </c>
      <c r="K62" s="125">
        <v>72</v>
      </c>
    </row>
    <row r="63" spans="1:11" s="7" customFormat="1" x14ac:dyDescent="0.5">
      <c r="A63"/>
      <c r="B63" s="37" t="s">
        <v>46</v>
      </c>
      <c r="C63" s="38">
        <v>60</v>
      </c>
      <c r="D63" s="38">
        <v>101</v>
      </c>
      <c r="E63" s="38">
        <v>162</v>
      </c>
      <c r="F63" s="38">
        <v>126</v>
      </c>
      <c r="G63" s="38">
        <v>128</v>
      </c>
      <c r="H63" s="38">
        <v>150</v>
      </c>
      <c r="I63" s="38">
        <v>62</v>
      </c>
      <c r="J63" s="108">
        <v>60</v>
      </c>
      <c r="K63" s="125">
        <v>90</v>
      </c>
    </row>
    <row r="64" spans="1:11" s="7" customFormat="1" x14ac:dyDescent="0.5">
      <c r="A64"/>
      <c r="B64" s="37" t="s">
        <v>47</v>
      </c>
      <c r="C64" s="38">
        <v>80</v>
      </c>
      <c r="D64" s="38">
        <v>134</v>
      </c>
      <c r="E64" s="38">
        <v>216</v>
      </c>
      <c r="F64" s="38">
        <v>168</v>
      </c>
      <c r="G64" s="38">
        <v>170</v>
      </c>
      <c r="H64" s="38">
        <v>200</v>
      </c>
      <c r="I64" s="38">
        <v>82</v>
      </c>
      <c r="J64" s="108">
        <v>72</v>
      </c>
      <c r="K64" s="125">
        <v>108</v>
      </c>
    </row>
    <row r="65" spans="1:11" x14ac:dyDescent="0.5">
      <c r="B65" s="37" t="s">
        <v>48</v>
      </c>
      <c r="C65" s="38">
        <v>100</v>
      </c>
      <c r="D65" s="38">
        <v>168</v>
      </c>
      <c r="E65" s="38">
        <v>270</v>
      </c>
      <c r="F65" s="38">
        <v>209</v>
      </c>
      <c r="G65" s="38">
        <v>213</v>
      </c>
      <c r="H65" s="38">
        <v>250</v>
      </c>
      <c r="I65" s="38">
        <v>103</v>
      </c>
      <c r="J65" s="108">
        <v>84</v>
      </c>
      <c r="K65" s="135">
        <v>126</v>
      </c>
    </row>
    <row r="66" spans="1:11" s="7" customFormat="1" x14ac:dyDescent="0.5">
      <c r="A66"/>
      <c r="B66" s="8"/>
      <c r="C66" s="9"/>
      <c r="D66" s="9"/>
      <c r="E66" s="2"/>
      <c r="F66" s="2"/>
      <c r="G66" s="2"/>
      <c r="H66" s="2"/>
      <c r="I66" s="2"/>
      <c r="J66" s="2"/>
    </row>
    <row r="67" spans="1:11" x14ac:dyDescent="0.5">
      <c r="A67" s="7"/>
      <c r="B67" s="39" t="s">
        <v>44</v>
      </c>
      <c r="C67" s="39" t="s">
        <v>10</v>
      </c>
      <c r="D67" s="39" t="s">
        <v>16</v>
      </c>
      <c r="E67" s="39" t="s">
        <v>17</v>
      </c>
      <c r="F67" s="48" t="s">
        <v>149</v>
      </c>
      <c r="G67" s="48" t="s">
        <v>185</v>
      </c>
      <c r="H67" s="132" t="s">
        <v>199</v>
      </c>
      <c r="I67" s="63" t="s">
        <v>111</v>
      </c>
      <c r="J67" s="48" t="s">
        <v>169</v>
      </c>
      <c r="K67" s="140" t="s">
        <v>168</v>
      </c>
    </row>
    <row r="68" spans="1:11" s="7" customFormat="1" x14ac:dyDescent="0.5">
      <c r="A68"/>
      <c r="B68" s="39" t="s">
        <v>45</v>
      </c>
      <c r="C68" s="69">
        <v>40</v>
      </c>
      <c r="D68" s="69">
        <v>67</v>
      </c>
      <c r="E68" s="69">
        <v>108</v>
      </c>
      <c r="F68" s="69">
        <v>84</v>
      </c>
      <c r="G68" s="69">
        <v>85</v>
      </c>
      <c r="H68" s="69">
        <v>100</v>
      </c>
      <c r="I68" s="69">
        <v>42</v>
      </c>
      <c r="J68" s="69">
        <v>48</v>
      </c>
      <c r="K68" s="132">
        <v>72</v>
      </c>
    </row>
    <row r="69" spans="1:11" s="7" customFormat="1" x14ac:dyDescent="0.5">
      <c r="B69" s="39" t="s">
        <v>46</v>
      </c>
      <c r="C69" s="69">
        <v>60</v>
      </c>
      <c r="D69" s="69">
        <v>101</v>
      </c>
      <c r="E69" s="69">
        <v>162</v>
      </c>
      <c r="F69" s="69">
        <v>126</v>
      </c>
      <c r="G69" s="69">
        <v>128</v>
      </c>
      <c r="H69" s="69">
        <v>150</v>
      </c>
      <c r="I69" s="69">
        <v>62</v>
      </c>
      <c r="J69" s="69">
        <v>60</v>
      </c>
      <c r="K69" s="132">
        <v>90</v>
      </c>
    </row>
    <row r="70" spans="1:11" x14ac:dyDescent="0.5">
      <c r="B70" s="39" t="s">
        <v>47</v>
      </c>
      <c r="C70" s="69">
        <v>80</v>
      </c>
      <c r="D70" s="69">
        <v>134</v>
      </c>
      <c r="E70" s="69">
        <v>216</v>
      </c>
      <c r="F70" s="69">
        <v>168</v>
      </c>
      <c r="G70" s="69">
        <v>170</v>
      </c>
      <c r="H70" s="69">
        <v>200</v>
      </c>
      <c r="I70" s="69">
        <v>82</v>
      </c>
      <c r="J70" s="69">
        <v>72</v>
      </c>
      <c r="K70" s="132">
        <v>108</v>
      </c>
    </row>
    <row r="71" spans="1:11" x14ac:dyDescent="0.5">
      <c r="A71" s="7"/>
      <c r="B71" s="39" t="s">
        <v>97</v>
      </c>
      <c r="C71" s="69">
        <v>87</v>
      </c>
      <c r="D71" s="69">
        <v>147</v>
      </c>
      <c r="E71" s="69">
        <v>237</v>
      </c>
      <c r="F71" s="69">
        <v>183</v>
      </c>
      <c r="G71" s="69">
        <v>186</v>
      </c>
      <c r="H71" s="69">
        <v>219</v>
      </c>
      <c r="I71" s="69">
        <v>90</v>
      </c>
      <c r="J71" s="69">
        <v>77</v>
      </c>
      <c r="K71" s="132">
        <v>115</v>
      </c>
    </row>
    <row r="72" spans="1:11" x14ac:dyDescent="0.5">
      <c r="B72" s="39" t="s">
        <v>48</v>
      </c>
      <c r="C72" s="69">
        <v>97</v>
      </c>
      <c r="D72" s="69">
        <v>164</v>
      </c>
      <c r="E72" s="69">
        <v>264</v>
      </c>
      <c r="F72" s="69">
        <v>204</v>
      </c>
      <c r="G72" s="69">
        <v>207</v>
      </c>
      <c r="H72" s="69">
        <v>244</v>
      </c>
      <c r="I72" s="69">
        <v>100</v>
      </c>
      <c r="J72" s="69">
        <v>84</v>
      </c>
      <c r="K72" s="132">
        <v>126</v>
      </c>
    </row>
    <row r="73" spans="1:11" s="7" customFormat="1" x14ac:dyDescent="0.5">
      <c r="B73" s="39" t="s">
        <v>49</v>
      </c>
      <c r="C73" s="69">
        <v>194</v>
      </c>
      <c r="D73" s="69">
        <v>327</v>
      </c>
      <c r="E73" s="69">
        <v>527</v>
      </c>
      <c r="F73" s="69">
        <v>408</v>
      </c>
      <c r="G73" s="69">
        <v>414</v>
      </c>
      <c r="H73" s="69">
        <v>487</v>
      </c>
      <c r="I73" s="69">
        <v>198</v>
      </c>
      <c r="J73" s="69">
        <v>144</v>
      </c>
      <c r="K73" s="132">
        <v>216</v>
      </c>
    </row>
    <row r="74" spans="1:11" s="7" customFormat="1" x14ac:dyDescent="0.5">
      <c r="B74" s="39" t="s">
        <v>50</v>
      </c>
      <c r="C74" s="69">
        <v>234</v>
      </c>
      <c r="D74" s="69">
        <v>393</v>
      </c>
      <c r="E74" s="69">
        <v>635</v>
      </c>
      <c r="F74" s="69">
        <v>491</v>
      </c>
      <c r="G74" s="69">
        <v>499</v>
      </c>
      <c r="H74" s="69">
        <v>587</v>
      </c>
      <c r="I74" s="69">
        <v>238</v>
      </c>
      <c r="J74" s="69">
        <v>168</v>
      </c>
      <c r="K74" s="132">
        <v>252</v>
      </c>
    </row>
    <row r="75" spans="1:11" s="7" customFormat="1" x14ac:dyDescent="0.5">
      <c r="A75"/>
      <c r="B75" s="39" t="s">
        <v>51</v>
      </c>
      <c r="C75" s="69">
        <v>125</v>
      </c>
      <c r="D75" s="69">
        <v>210</v>
      </c>
      <c r="E75" s="69">
        <v>338</v>
      </c>
      <c r="F75" s="69">
        <v>262</v>
      </c>
      <c r="G75" s="69">
        <v>266</v>
      </c>
      <c r="H75" s="69">
        <v>312</v>
      </c>
      <c r="I75" s="69">
        <v>127</v>
      </c>
      <c r="J75" s="69">
        <v>86</v>
      </c>
      <c r="K75" s="132">
        <v>128</v>
      </c>
    </row>
    <row r="76" spans="1:11" s="7" customFormat="1" x14ac:dyDescent="0.5">
      <c r="A76"/>
      <c r="B76" s="131" t="s">
        <v>96</v>
      </c>
      <c r="C76" s="132">
        <v>137</v>
      </c>
      <c r="D76" s="132">
        <v>230</v>
      </c>
      <c r="E76" s="132">
        <v>372</v>
      </c>
      <c r="F76" s="132">
        <v>288</v>
      </c>
      <c r="G76" s="132">
        <v>292</v>
      </c>
      <c r="H76" s="132">
        <v>344</v>
      </c>
      <c r="I76" s="132">
        <v>139</v>
      </c>
      <c r="J76" s="132">
        <v>90</v>
      </c>
      <c r="K76" s="132">
        <v>135</v>
      </c>
    </row>
    <row r="77" spans="1:11" s="7" customFormat="1" x14ac:dyDescent="0.5">
      <c r="A77"/>
      <c r="B77" s="131" t="s">
        <v>52</v>
      </c>
      <c r="C77" s="132">
        <v>309</v>
      </c>
      <c r="D77" s="132">
        <v>519</v>
      </c>
      <c r="E77" s="132">
        <v>837</v>
      </c>
      <c r="F77" s="132">
        <v>648</v>
      </c>
      <c r="G77" s="132">
        <v>658</v>
      </c>
      <c r="H77" s="132">
        <v>774</v>
      </c>
      <c r="I77" s="132">
        <v>309</v>
      </c>
      <c r="J77" s="132">
        <v>158</v>
      </c>
      <c r="K77" s="132">
        <v>236</v>
      </c>
    </row>
    <row r="78" spans="1:11" s="7" customFormat="1" x14ac:dyDescent="0.5">
      <c r="A78"/>
      <c r="B78" s="131" t="s">
        <v>53</v>
      </c>
      <c r="C78" s="132">
        <v>341</v>
      </c>
      <c r="D78" s="132">
        <v>573</v>
      </c>
      <c r="E78" s="132">
        <v>925</v>
      </c>
      <c r="F78" s="132">
        <v>716</v>
      </c>
      <c r="G78" s="132">
        <v>727</v>
      </c>
      <c r="H78" s="132">
        <v>855</v>
      </c>
      <c r="I78" s="132">
        <v>341</v>
      </c>
      <c r="J78" s="132">
        <v>170</v>
      </c>
      <c r="K78" s="132">
        <v>254</v>
      </c>
    </row>
    <row r="79" spans="1:11" s="7" customFormat="1" x14ac:dyDescent="0.5">
      <c r="A79"/>
      <c r="B79" s="131" t="s">
        <v>54</v>
      </c>
      <c r="C79" s="132">
        <v>371</v>
      </c>
      <c r="D79" s="132">
        <v>623</v>
      </c>
      <c r="E79" s="132">
        <v>1006</v>
      </c>
      <c r="F79" s="132">
        <v>778</v>
      </c>
      <c r="G79" s="132">
        <v>791</v>
      </c>
      <c r="H79" s="132">
        <v>930</v>
      </c>
      <c r="I79" s="132">
        <v>371</v>
      </c>
      <c r="J79" s="132">
        <v>182</v>
      </c>
      <c r="K79" s="132">
        <v>272</v>
      </c>
    </row>
    <row r="80" spans="1:11" s="7" customFormat="1" x14ac:dyDescent="0.5">
      <c r="A80"/>
      <c r="B80" s="131" t="s">
        <v>190</v>
      </c>
      <c r="C80" s="132">
        <v>202</v>
      </c>
      <c r="D80" s="132">
        <v>339</v>
      </c>
      <c r="E80" s="132">
        <v>547</v>
      </c>
      <c r="F80" s="132">
        <v>423</v>
      </c>
      <c r="G80" s="132">
        <v>430</v>
      </c>
      <c r="H80" s="132">
        <v>506</v>
      </c>
      <c r="I80" s="132">
        <v>203</v>
      </c>
      <c r="J80" s="132">
        <v>109</v>
      </c>
      <c r="K80" s="132">
        <v>163</v>
      </c>
    </row>
    <row r="81" spans="1:11" s="7" customFormat="1" x14ac:dyDescent="0.5">
      <c r="A81"/>
      <c r="B81" s="133" t="s">
        <v>191</v>
      </c>
      <c r="C81" s="69">
        <v>222</v>
      </c>
      <c r="D81" s="69">
        <v>373</v>
      </c>
      <c r="E81" s="69">
        <v>601</v>
      </c>
      <c r="F81" s="69">
        <v>465</v>
      </c>
      <c r="G81" s="69">
        <v>473</v>
      </c>
      <c r="H81" s="69">
        <v>556</v>
      </c>
      <c r="I81" s="69">
        <v>222</v>
      </c>
      <c r="J81" s="69">
        <v>114</v>
      </c>
      <c r="K81" s="132">
        <v>171</v>
      </c>
    </row>
    <row r="82" spans="1:11" s="7" customFormat="1" x14ac:dyDescent="0.5">
      <c r="A82"/>
      <c r="B82" s="133" t="s">
        <v>192</v>
      </c>
      <c r="C82" s="69">
        <v>249</v>
      </c>
      <c r="D82" s="69">
        <v>419</v>
      </c>
      <c r="E82" s="69">
        <v>675</v>
      </c>
      <c r="F82" s="69">
        <v>523</v>
      </c>
      <c r="G82" s="69">
        <v>531</v>
      </c>
      <c r="H82" s="69">
        <v>624</v>
      </c>
      <c r="I82" s="69">
        <v>249</v>
      </c>
      <c r="J82" s="69">
        <v>123</v>
      </c>
      <c r="K82" s="132">
        <v>184</v>
      </c>
    </row>
    <row r="83" spans="1:11" s="7" customFormat="1" x14ac:dyDescent="0.5">
      <c r="B83" s="133" t="s">
        <v>193</v>
      </c>
      <c r="C83" s="69">
        <v>274</v>
      </c>
      <c r="D83" s="69">
        <v>460</v>
      </c>
      <c r="E83" s="69">
        <v>743</v>
      </c>
      <c r="F83" s="69">
        <v>575</v>
      </c>
      <c r="G83" s="69">
        <v>584</v>
      </c>
      <c r="H83" s="69">
        <v>687</v>
      </c>
      <c r="I83" s="69">
        <v>274</v>
      </c>
      <c r="J83" s="69">
        <v>128</v>
      </c>
      <c r="K83" s="132">
        <v>191</v>
      </c>
    </row>
    <row r="84" spans="1:11" s="7" customFormat="1" x14ac:dyDescent="0.5">
      <c r="B84" s="39" t="s">
        <v>55</v>
      </c>
      <c r="C84" s="69">
        <v>478</v>
      </c>
      <c r="D84" s="69">
        <v>803</v>
      </c>
      <c r="E84" s="69">
        <v>1296</v>
      </c>
      <c r="F84" s="69">
        <v>1003</v>
      </c>
      <c r="G84" s="69">
        <v>1019</v>
      </c>
      <c r="H84" s="70">
        <v>1199</v>
      </c>
      <c r="I84" s="70">
        <v>475</v>
      </c>
      <c r="J84" s="70">
        <v>192</v>
      </c>
      <c r="K84" s="132">
        <v>288</v>
      </c>
    </row>
    <row r="85" spans="1:11" x14ac:dyDescent="0.5">
      <c r="A85" s="7"/>
      <c r="B85" s="39" t="s">
        <v>189</v>
      </c>
      <c r="C85" s="69">
        <v>527</v>
      </c>
      <c r="D85" s="69">
        <v>887</v>
      </c>
      <c r="E85" s="69">
        <v>1431</v>
      </c>
      <c r="F85" s="69">
        <v>1107</v>
      </c>
      <c r="G85" s="69">
        <v>1125</v>
      </c>
      <c r="H85" s="69">
        <v>1323</v>
      </c>
      <c r="I85" s="69">
        <v>523</v>
      </c>
      <c r="J85" s="69">
        <v>197</v>
      </c>
      <c r="K85" s="132">
        <v>296</v>
      </c>
    </row>
    <row r="86" spans="1:11" x14ac:dyDescent="0.5">
      <c r="A86" s="7"/>
      <c r="B86" s="8"/>
      <c r="C86" s="9"/>
      <c r="D86" s="9"/>
      <c r="E86" s="10"/>
    </row>
    <row r="87" spans="1:11" x14ac:dyDescent="0.5">
      <c r="A87" s="7"/>
      <c r="B87" s="29" t="s">
        <v>4</v>
      </c>
      <c r="C87" s="29" t="s">
        <v>10</v>
      </c>
      <c r="D87" s="29" t="s">
        <v>16</v>
      </c>
      <c r="E87" s="29" t="s">
        <v>17</v>
      </c>
      <c r="F87" s="48" t="s">
        <v>149</v>
      </c>
      <c r="G87" s="48" t="s">
        <v>185</v>
      </c>
      <c r="H87" s="132" t="s">
        <v>199</v>
      </c>
      <c r="I87" s="63" t="s">
        <v>111</v>
      </c>
      <c r="J87" s="48" t="s">
        <v>169</v>
      </c>
      <c r="K87" s="140" t="s">
        <v>168</v>
      </c>
    </row>
    <row r="88" spans="1:11" s="7" customFormat="1" x14ac:dyDescent="0.5">
      <c r="B88" s="37" t="s">
        <v>194</v>
      </c>
      <c r="C88" s="38">
        <v>45</v>
      </c>
      <c r="D88" s="38">
        <v>76</v>
      </c>
      <c r="E88" s="126" t="s">
        <v>180</v>
      </c>
      <c r="F88" s="38">
        <v>94</v>
      </c>
      <c r="G88" s="38">
        <v>96</v>
      </c>
      <c r="H88" s="38">
        <v>113</v>
      </c>
      <c r="I88" s="38">
        <v>54</v>
      </c>
      <c r="J88" s="126">
        <v>137</v>
      </c>
      <c r="K88" s="141" t="s">
        <v>180</v>
      </c>
    </row>
    <row r="89" spans="1:11" s="7" customFormat="1" x14ac:dyDescent="0.5">
      <c r="B89" s="134" t="s">
        <v>195</v>
      </c>
      <c r="C89" s="136" t="s">
        <v>180</v>
      </c>
      <c r="D89" s="136" t="s">
        <v>180</v>
      </c>
      <c r="E89" s="135">
        <v>102</v>
      </c>
      <c r="F89" s="126" t="s">
        <v>180</v>
      </c>
      <c r="G89" s="126" t="s">
        <v>180</v>
      </c>
      <c r="H89" s="136" t="s">
        <v>180</v>
      </c>
      <c r="I89" s="135">
        <v>45</v>
      </c>
      <c r="J89" s="135">
        <v>113</v>
      </c>
      <c r="K89" s="125">
        <v>170</v>
      </c>
    </row>
    <row r="90" spans="1:11" s="7" customFormat="1" x14ac:dyDescent="0.5">
      <c r="B90" s="8"/>
      <c r="C90" s="9"/>
      <c r="D90" s="9"/>
      <c r="E90" s="9"/>
      <c r="F90" s="2"/>
      <c r="G90" s="2"/>
      <c r="H90" s="2"/>
      <c r="I90" s="2"/>
      <c r="J90" s="2"/>
    </row>
    <row r="91" spans="1:11" s="7" customFormat="1" x14ac:dyDescent="0.5">
      <c r="B91" s="29" t="s">
        <v>56</v>
      </c>
      <c r="C91" s="29" t="s">
        <v>10</v>
      </c>
      <c r="D91" s="29" t="s">
        <v>16</v>
      </c>
      <c r="E91" s="29" t="s">
        <v>17</v>
      </c>
      <c r="F91" s="48" t="s">
        <v>149</v>
      </c>
      <c r="G91" s="48" t="s">
        <v>185</v>
      </c>
      <c r="H91" s="132" t="s">
        <v>199</v>
      </c>
      <c r="I91" s="63" t="s">
        <v>111</v>
      </c>
      <c r="J91" s="48" t="s">
        <v>169</v>
      </c>
      <c r="K91" s="140" t="s">
        <v>168</v>
      </c>
    </row>
    <row r="92" spans="1:11" x14ac:dyDescent="0.5">
      <c r="A92" s="7"/>
      <c r="B92" s="37" t="s">
        <v>57</v>
      </c>
      <c r="C92" s="38">
        <v>10</v>
      </c>
      <c r="D92" s="38">
        <v>17</v>
      </c>
      <c r="E92" s="38">
        <v>27</v>
      </c>
      <c r="F92" s="38">
        <v>21</v>
      </c>
      <c r="G92" s="38">
        <v>22</v>
      </c>
      <c r="H92" s="38">
        <v>25</v>
      </c>
      <c r="I92" s="38">
        <v>14</v>
      </c>
      <c r="J92" s="108">
        <v>51</v>
      </c>
      <c r="K92" s="135">
        <v>77</v>
      </c>
    </row>
    <row r="93" spans="1:11" x14ac:dyDescent="0.5">
      <c r="B93" s="37" t="s">
        <v>58</v>
      </c>
      <c r="C93" s="38">
        <v>30</v>
      </c>
      <c r="D93" s="38">
        <v>51</v>
      </c>
      <c r="E93" s="38">
        <v>81</v>
      </c>
      <c r="F93" s="38">
        <v>63</v>
      </c>
      <c r="G93" s="38">
        <v>64</v>
      </c>
      <c r="H93" s="38">
        <v>75</v>
      </c>
      <c r="I93" s="38">
        <v>40</v>
      </c>
      <c r="J93" s="108">
        <v>147</v>
      </c>
      <c r="K93" s="135">
        <v>221</v>
      </c>
    </row>
    <row r="94" spans="1:11" x14ac:dyDescent="0.5">
      <c r="B94" s="37" t="s">
        <v>59</v>
      </c>
      <c r="C94" s="38">
        <v>20</v>
      </c>
      <c r="D94" s="38">
        <v>34</v>
      </c>
      <c r="E94" s="38">
        <v>54</v>
      </c>
      <c r="F94" s="38">
        <v>42</v>
      </c>
      <c r="G94" s="38">
        <v>43</v>
      </c>
      <c r="H94" s="38">
        <v>50</v>
      </c>
      <c r="I94" s="38">
        <v>24</v>
      </c>
      <c r="J94" s="108">
        <v>54</v>
      </c>
      <c r="K94" s="135">
        <v>81</v>
      </c>
    </row>
    <row r="95" spans="1:11" x14ac:dyDescent="0.5">
      <c r="B95" s="37" t="s">
        <v>60</v>
      </c>
      <c r="C95" s="38">
        <v>60</v>
      </c>
      <c r="D95" s="38">
        <v>101</v>
      </c>
      <c r="E95" s="38">
        <v>162</v>
      </c>
      <c r="F95" s="38">
        <v>126</v>
      </c>
      <c r="G95" s="38">
        <v>128</v>
      </c>
      <c r="H95" s="38">
        <v>150</v>
      </c>
      <c r="I95" s="38">
        <v>69</v>
      </c>
      <c r="J95" s="108">
        <v>150</v>
      </c>
      <c r="K95" s="135">
        <v>225</v>
      </c>
    </row>
    <row r="96" spans="1:11" x14ac:dyDescent="0.5">
      <c r="B96" s="107" t="s">
        <v>166</v>
      </c>
      <c r="C96" s="108">
        <v>30</v>
      </c>
      <c r="D96" s="108">
        <v>51</v>
      </c>
      <c r="E96" s="108">
        <v>81</v>
      </c>
      <c r="F96" s="38">
        <v>63</v>
      </c>
      <c r="G96" s="38">
        <v>64</v>
      </c>
      <c r="H96" s="108">
        <v>75</v>
      </c>
      <c r="I96" s="108">
        <v>33</v>
      </c>
      <c r="J96" s="108">
        <v>57</v>
      </c>
      <c r="K96" s="135">
        <v>86</v>
      </c>
    </row>
    <row r="97" spans="1:11" x14ac:dyDescent="0.5">
      <c r="B97" s="107" t="s">
        <v>167</v>
      </c>
      <c r="C97" s="108">
        <v>90</v>
      </c>
      <c r="D97" s="108">
        <v>151</v>
      </c>
      <c r="E97" s="108">
        <v>243</v>
      </c>
      <c r="F97" s="38">
        <v>188</v>
      </c>
      <c r="G97" s="38">
        <v>191</v>
      </c>
      <c r="H97" s="108">
        <v>225</v>
      </c>
      <c r="I97" s="108">
        <v>98</v>
      </c>
      <c r="J97" s="108">
        <v>153</v>
      </c>
      <c r="K97" s="135">
        <v>230</v>
      </c>
    </row>
    <row r="98" spans="1:11" x14ac:dyDescent="0.5">
      <c r="A98" s="7"/>
      <c r="B98" s="37" t="s">
        <v>188</v>
      </c>
      <c r="C98" s="38">
        <v>28</v>
      </c>
      <c r="D98" s="38">
        <v>47</v>
      </c>
      <c r="E98" s="38">
        <v>75</v>
      </c>
      <c r="F98" s="38">
        <v>59</v>
      </c>
      <c r="G98" s="38">
        <v>59</v>
      </c>
      <c r="H98" s="38">
        <v>70</v>
      </c>
      <c r="I98" s="68">
        <v>35</v>
      </c>
      <c r="J98" s="68">
        <v>105</v>
      </c>
      <c r="K98" s="135">
        <v>157</v>
      </c>
    </row>
    <row r="99" spans="1:11" x14ac:dyDescent="0.5">
      <c r="A99" s="7"/>
      <c r="B99" s="8"/>
      <c r="C99" s="11"/>
      <c r="D99" s="11"/>
    </row>
    <row r="100" spans="1:11" x14ac:dyDescent="0.5">
      <c r="B100" s="37" t="s">
        <v>5</v>
      </c>
      <c r="C100" s="29" t="s">
        <v>10</v>
      </c>
      <c r="D100" s="29" t="s">
        <v>16</v>
      </c>
      <c r="E100" s="29" t="s">
        <v>17</v>
      </c>
      <c r="F100" s="48" t="s">
        <v>149</v>
      </c>
      <c r="G100" s="48" t="s">
        <v>185</v>
      </c>
      <c r="H100" s="132" t="s">
        <v>199</v>
      </c>
      <c r="I100" s="63" t="s">
        <v>111</v>
      </c>
      <c r="J100" s="48" t="s">
        <v>169</v>
      </c>
      <c r="K100" s="140" t="s">
        <v>168</v>
      </c>
    </row>
    <row r="101" spans="1:11" x14ac:dyDescent="0.5">
      <c r="B101" s="37" t="s">
        <v>178</v>
      </c>
      <c r="C101" s="38">
        <v>622</v>
      </c>
      <c r="D101" s="38">
        <v>1046</v>
      </c>
      <c r="E101" s="38">
        <v>1688</v>
      </c>
      <c r="F101" s="38">
        <v>1306</v>
      </c>
      <c r="G101" s="38">
        <v>1326</v>
      </c>
      <c r="H101" s="62">
        <v>1560</v>
      </c>
      <c r="I101" s="62">
        <v>615</v>
      </c>
      <c r="J101" s="112">
        <v>207</v>
      </c>
      <c r="K101" s="135">
        <v>310</v>
      </c>
    </row>
    <row r="102" spans="1:11" x14ac:dyDescent="0.5">
      <c r="B102" s="37" t="s">
        <v>140</v>
      </c>
      <c r="C102" s="38">
        <v>381</v>
      </c>
      <c r="D102" s="38">
        <v>640</v>
      </c>
      <c r="E102" s="38">
        <v>1033</v>
      </c>
      <c r="F102" s="38">
        <v>799</v>
      </c>
      <c r="G102" s="38">
        <v>812</v>
      </c>
      <c r="H102" s="38">
        <v>955</v>
      </c>
      <c r="I102" s="38">
        <v>381</v>
      </c>
      <c r="J102" s="108">
        <v>183</v>
      </c>
      <c r="K102" s="135">
        <v>274</v>
      </c>
    </row>
    <row r="103" spans="1:11" x14ac:dyDescent="0.5">
      <c r="B103" s="61" t="s">
        <v>179</v>
      </c>
      <c r="C103" s="62">
        <v>990</v>
      </c>
      <c r="D103" s="62">
        <v>1493</v>
      </c>
      <c r="E103" s="62">
        <v>2330</v>
      </c>
      <c r="F103" s="62">
        <v>1963</v>
      </c>
      <c r="G103" s="62">
        <v>1700</v>
      </c>
      <c r="H103" s="38">
        <v>2606</v>
      </c>
      <c r="I103" s="38">
        <v>625</v>
      </c>
      <c r="J103" s="108">
        <v>296</v>
      </c>
      <c r="K103" s="135">
        <v>448</v>
      </c>
    </row>
    <row r="104" spans="1:11" x14ac:dyDescent="0.5">
      <c r="B104" s="61" t="s">
        <v>141</v>
      </c>
      <c r="C104" s="62">
        <v>606</v>
      </c>
      <c r="D104" s="62">
        <v>914</v>
      </c>
      <c r="E104" s="62">
        <v>1426</v>
      </c>
      <c r="F104" s="62">
        <v>1202</v>
      </c>
      <c r="G104" s="62" t="s">
        <v>180</v>
      </c>
      <c r="H104" s="38">
        <v>1595</v>
      </c>
      <c r="I104" s="38">
        <v>390</v>
      </c>
      <c r="J104" s="108">
        <v>262</v>
      </c>
      <c r="K104" s="135">
        <v>395</v>
      </c>
    </row>
    <row r="105" spans="1:11" x14ac:dyDescent="0.5">
      <c r="B105" s="119" t="s">
        <v>181</v>
      </c>
      <c r="C105" s="118" t="s">
        <v>180</v>
      </c>
      <c r="D105" s="118" t="s">
        <v>180</v>
      </c>
      <c r="E105" s="118" t="s">
        <v>180</v>
      </c>
      <c r="F105" s="126" t="s">
        <v>180</v>
      </c>
      <c r="G105" s="38">
        <v>1238</v>
      </c>
      <c r="H105" s="121" t="s">
        <v>180</v>
      </c>
      <c r="I105" s="121" t="s">
        <v>180</v>
      </c>
      <c r="J105" s="121">
        <v>301</v>
      </c>
      <c r="K105" s="136" t="s">
        <v>180</v>
      </c>
    </row>
    <row r="106" spans="1:11" x14ac:dyDescent="0.5">
      <c r="B106" s="119"/>
      <c r="C106" s="118"/>
      <c r="D106" s="118"/>
      <c r="E106" s="118"/>
      <c r="F106" s="38"/>
      <c r="G106" s="38"/>
      <c r="H106" s="120"/>
      <c r="I106" s="120"/>
      <c r="J106" s="120"/>
    </row>
    <row r="107" spans="1:11" x14ac:dyDescent="0.5">
      <c r="B107" s="93" t="s">
        <v>150</v>
      </c>
      <c r="C107" s="84" t="s">
        <v>10</v>
      </c>
      <c r="D107" s="84" t="s">
        <v>148</v>
      </c>
      <c r="E107" s="84" t="s">
        <v>118</v>
      </c>
      <c r="F107" s="92" t="s">
        <v>149</v>
      </c>
      <c r="G107" s="48" t="s">
        <v>185</v>
      </c>
      <c r="H107" s="132" t="s">
        <v>199</v>
      </c>
      <c r="I107" s="63" t="s">
        <v>111</v>
      </c>
      <c r="J107" s="48" t="s">
        <v>169</v>
      </c>
      <c r="K107" s="92" t="s">
        <v>168</v>
      </c>
    </row>
    <row r="108" spans="1:11" x14ac:dyDescent="0.5">
      <c r="B108" s="83" t="s">
        <v>24</v>
      </c>
      <c r="C108" s="84">
        <v>232</v>
      </c>
      <c r="D108" s="84">
        <v>231</v>
      </c>
      <c r="E108" s="84">
        <v>364</v>
      </c>
      <c r="F108" s="92">
        <v>264</v>
      </c>
      <c r="G108" s="92">
        <v>263</v>
      </c>
      <c r="H108" s="92">
        <v>263</v>
      </c>
      <c r="I108" s="73">
        <v>143</v>
      </c>
      <c r="J108" s="73" t="s">
        <v>112</v>
      </c>
      <c r="K108" s="113" t="s">
        <v>112</v>
      </c>
    </row>
    <row r="109" spans="1:11" x14ac:dyDescent="0.5">
      <c r="B109" s="83" t="s">
        <v>25</v>
      </c>
      <c r="C109" s="84">
        <v>296</v>
      </c>
      <c r="D109" s="84">
        <v>295</v>
      </c>
      <c r="E109" s="84">
        <v>466</v>
      </c>
      <c r="F109" s="92">
        <v>337</v>
      </c>
      <c r="G109" s="92">
        <v>335</v>
      </c>
      <c r="H109" s="92">
        <v>335</v>
      </c>
      <c r="I109" s="73">
        <v>183</v>
      </c>
      <c r="J109" s="73" t="s">
        <v>112</v>
      </c>
      <c r="K109" s="113" t="s">
        <v>112</v>
      </c>
    </row>
    <row r="110" spans="1:11" x14ac:dyDescent="0.5">
      <c r="B110" s="83" t="s">
        <v>26</v>
      </c>
      <c r="C110" s="84">
        <v>328</v>
      </c>
      <c r="D110" s="84">
        <v>327</v>
      </c>
      <c r="E110" s="84">
        <v>517</v>
      </c>
      <c r="F110" s="92">
        <v>373</v>
      </c>
      <c r="G110" s="92">
        <v>372</v>
      </c>
      <c r="H110" s="92">
        <v>372</v>
      </c>
      <c r="I110" s="73">
        <v>203</v>
      </c>
      <c r="J110" s="73" t="s">
        <v>112</v>
      </c>
      <c r="K110" s="113" t="s">
        <v>112</v>
      </c>
    </row>
    <row r="111" spans="1:11" x14ac:dyDescent="0.5">
      <c r="B111" s="83" t="s">
        <v>159</v>
      </c>
      <c r="C111" s="84">
        <v>360</v>
      </c>
      <c r="D111" s="84">
        <v>359</v>
      </c>
      <c r="E111" s="84">
        <v>567</v>
      </c>
      <c r="F111" s="92">
        <v>410</v>
      </c>
      <c r="G111" s="92">
        <v>408</v>
      </c>
      <c r="H111" s="92">
        <v>408</v>
      </c>
      <c r="I111" s="73">
        <v>223</v>
      </c>
      <c r="J111" s="73" t="s">
        <v>112</v>
      </c>
      <c r="K111" s="113" t="s">
        <v>112</v>
      </c>
    </row>
    <row r="112" spans="1:11" x14ac:dyDescent="0.5">
      <c r="B112" s="83" t="s">
        <v>160</v>
      </c>
      <c r="C112" s="84">
        <v>392</v>
      </c>
      <c r="D112" s="84">
        <v>391</v>
      </c>
      <c r="E112" s="84">
        <v>618</v>
      </c>
      <c r="F112" s="92">
        <v>447</v>
      </c>
      <c r="G112" s="92">
        <v>445</v>
      </c>
      <c r="H112" s="92">
        <v>445</v>
      </c>
      <c r="I112" s="73">
        <v>243</v>
      </c>
      <c r="J112" s="73" t="s">
        <v>112</v>
      </c>
      <c r="K112" s="113" t="s">
        <v>112</v>
      </c>
    </row>
    <row r="113" spans="2:11" x14ac:dyDescent="0.5">
      <c r="B113" s="83" t="s">
        <v>32</v>
      </c>
      <c r="C113" s="84">
        <v>344</v>
      </c>
      <c r="D113" s="84">
        <v>343</v>
      </c>
      <c r="E113" s="84">
        <v>542</v>
      </c>
      <c r="F113" s="92">
        <v>392</v>
      </c>
      <c r="G113" s="92">
        <v>390</v>
      </c>
      <c r="H113" s="92">
        <v>390</v>
      </c>
      <c r="I113" s="73">
        <v>211</v>
      </c>
      <c r="J113" s="73" t="s">
        <v>112</v>
      </c>
      <c r="K113" s="113" t="s">
        <v>112</v>
      </c>
    </row>
    <row r="114" spans="2:11" x14ac:dyDescent="0.5">
      <c r="B114" s="93" t="s">
        <v>33</v>
      </c>
      <c r="C114" s="84">
        <v>440</v>
      </c>
      <c r="D114" s="84">
        <v>439</v>
      </c>
      <c r="E114" s="84">
        <v>695</v>
      </c>
      <c r="F114" s="92">
        <v>501</v>
      </c>
      <c r="G114" s="92">
        <v>499</v>
      </c>
      <c r="H114" s="92">
        <v>499</v>
      </c>
      <c r="I114" s="73">
        <v>270</v>
      </c>
      <c r="J114" s="73" t="s">
        <v>112</v>
      </c>
      <c r="K114" s="113" t="s">
        <v>112</v>
      </c>
    </row>
    <row r="115" spans="2:11" x14ac:dyDescent="0.5">
      <c r="B115" s="93" t="s">
        <v>34</v>
      </c>
      <c r="C115" s="84">
        <v>488</v>
      </c>
      <c r="D115" s="84">
        <v>487</v>
      </c>
      <c r="E115" s="84">
        <v>771</v>
      </c>
      <c r="F115" s="92">
        <v>556</v>
      </c>
      <c r="G115" s="92">
        <v>554</v>
      </c>
      <c r="H115" s="92">
        <v>554</v>
      </c>
      <c r="I115" s="73">
        <v>300</v>
      </c>
      <c r="J115" s="73" t="s">
        <v>112</v>
      </c>
      <c r="K115" s="113" t="s">
        <v>112</v>
      </c>
    </row>
    <row r="116" spans="2:11" x14ac:dyDescent="0.5">
      <c r="B116" s="93" t="s">
        <v>161</v>
      </c>
      <c r="C116" s="84">
        <v>536</v>
      </c>
      <c r="D116" s="84">
        <v>535</v>
      </c>
      <c r="E116" s="84">
        <v>847</v>
      </c>
      <c r="F116" s="92">
        <v>611</v>
      </c>
      <c r="G116" s="92">
        <v>608</v>
      </c>
      <c r="H116" s="92">
        <v>608</v>
      </c>
      <c r="I116" s="73">
        <v>329</v>
      </c>
      <c r="J116" s="73" t="s">
        <v>112</v>
      </c>
      <c r="K116" s="113" t="s">
        <v>112</v>
      </c>
    </row>
    <row r="117" spans="2:11" x14ac:dyDescent="0.5">
      <c r="B117" s="93" t="s">
        <v>162</v>
      </c>
      <c r="C117" s="84">
        <v>584</v>
      </c>
      <c r="D117" s="84">
        <v>582</v>
      </c>
      <c r="E117" s="84">
        <v>924</v>
      </c>
      <c r="F117" s="92">
        <v>666</v>
      </c>
      <c r="G117" s="92">
        <v>663</v>
      </c>
      <c r="H117" s="92">
        <v>663</v>
      </c>
      <c r="I117" s="73">
        <v>359</v>
      </c>
      <c r="J117" s="73" t="s">
        <v>112</v>
      </c>
      <c r="K117" s="113" t="s">
        <v>112</v>
      </c>
    </row>
    <row r="118" spans="2:11" x14ac:dyDescent="0.5">
      <c r="B118" s="93"/>
      <c r="C118" s="84"/>
      <c r="D118" s="84"/>
      <c r="E118" s="84"/>
      <c r="F118" s="92"/>
      <c r="G118" s="92"/>
      <c r="H118" s="92"/>
      <c r="I118" s="73"/>
      <c r="J118" s="73"/>
      <c r="K118" s="113"/>
    </row>
    <row r="119" spans="2:11" x14ac:dyDescent="0.5">
      <c r="B119" s="83" t="s">
        <v>153</v>
      </c>
      <c r="C119" s="84" t="s">
        <v>154</v>
      </c>
      <c r="D119" s="84" t="s">
        <v>148</v>
      </c>
      <c r="E119" s="84" t="s">
        <v>118</v>
      </c>
      <c r="F119" s="92" t="s">
        <v>155</v>
      </c>
      <c r="G119" s="48" t="s">
        <v>185</v>
      </c>
      <c r="H119" s="132" t="s">
        <v>199</v>
      </c>
      <c r="I119" s="63" t="s">
        <v>111</v>
      </c>
      <c r="J119" s="48" t="s">
        <v>169</v>
      </c>
      <c r="K119" s="92" t="s">
        <v>168</v>
      </c>
    </row>
    <row r="120" spans="2:11" x14ac:dyDescent="0.5">
      <c r="B120" s="83" t="s">
        <v>156</v>
      </c>
      <c r="C120" s="84">
        <v>404</v>
      </c>
      <c r="D120" s="84">
        <v>403</v>
      </c>
      <c r="E120" s="84">
        <v>637</v>
      </c>
      <c r="F120" s="92">
        <v>460</v>
      </c>
      <c r="G120" s="92">
        <v>458</v>
      </c>
      <c r="I120" s="111">
        <v>249</v>
      </c>
      <c r="J120" s="113" t="s">
        <v>112</v>
      </c>
      <c r="K120" s="73" t="s">
        <v>112</v>
      </c>
    </row>
    <row r="121" spans="2:11" x14ac:dyDescent="0.5">
      <c r="B121" s="83" t="s">
        <v>157</v>
      </c>
      <c r="C121" s="84">
        <v>476</v>
      </c>
      <c r="D121" s="84">
        <v>475</v>
      </c>
      <c r="E121" s="84">
        <v>752</v>
      </c>
      <c r="F121" s="92">
        <v>543</v>
      </c>
      <c r="G121" s="92">
        <v>540</v>
      </c>
      <c r="I121" s="111">
        <v>294</v>
      </c>
      <c r="J121" s="113" t="s">
        <v>112</v>
      </c>
      <c r="K121" s="73" t="s">
        <v>112</v>
      </c>
    </row>
    <row r="122" spans="2:11" x14ac:dyDescent="0.5">
      <c r="B122" s="1"/>
      <c r="C122" s="62"/>
      <c r="D122" s="62"/>
      <c r="E122" s="62"/>
    </row>
    <row r="123" spans="2:11" x14ac:dyDescent="0.5">
      <c r="B123" s="57" t="s">
        <v>61</v>
      </c>
      <c r="C123" s="45" t="s">
        <v>62</v>
      </c>
      <c r="D123" s="114" t="s">
        <v>172</v>
      </c>
    </row>
    <row r="124" spans="2:11" x14ac:dyDescent="0.5">
      <c r="B124" s="50" t="s">
        <v>158</v>
      </c>
      <c r="C124" s="73">
        <v>0</v>
      </c>
      <c r="D124" s="70">
        <v>0</v>
      </c>
    </row>
    <row r="125" spans="2:11" x14ac:dyDescent="0.5">
      <c r="B125" s="50" t="s">
        <v>63</v>
      </c>
      <c r="C125" s="73">
        <v>20</v>
      </c>
      <c r="D125" s="70">
        <v>20</v>
      </c>
    </row>
    <row r="126" spans="2:11" x14ac:dyDescent="0.5">
      <c r="B126" s="50" t="s">
        <v>64</v>
      </c>
      <c r="C126" s="73">
        <v>20</v>
      </c>
      <c r="D126" s="70">
        <v>20</v>
      </c>
    </row>
    <row r="127" spans="2:11" x14ac:dyDescent="0.5">
      <c r="B127" s="50" t="s">
        <v>65</v>
      </c>
      <c r="C127" s="73">
        <v>100</v>
      </c>
      <c r="D127" s="70">
        <v>0</v>
      </c>
    </row>
    <row r="128" spans="2:11" x14ac:dyDescent="0.5">
      <c r="B128" s="50" t="s">
        <v>66</v>
      </c>
      <c r="C128" s="73">
        <v>0</v>
      </c>
      <c r="D128" s="70">
        <v>0</v>
      </c>
    </row>
    <row r="129" spans="2:10" x14ac:dyDescent="0.5">
      <c r="B129" s="74" t="s">
        <v>112</v>
      </c>
      <c r="C129" s="70">
        <v>0</v>
      </c>
      <c r="D129" s="70">
        <v>0</v>
      </c>
    </row>
    <row r="130" spans="2:10" x14ac:dyDescent="0.5">
      <c r="B130" s="74"/>
      <c r="C130" s="70"/>
    </row>
    <row r="131" spans="2:10" ht="25.15" x14ac:dyDescent="0.9">
      <c r="B131" s="167" t="s">
        <v>224</v>
      </c>
      <c r="C131" s="70"/>
    </row>
    <row r="132" spans="2:10" x14ac:dyDescent="0.5">
      <c r="B132" s="74"/>
      <c r="C132" s="70"/>
    </row>
    <row r="133" spans="2:10" ht="29.25" x14ac:dyDescent="0.45">
      <c r="B133" s="159" t="s">
        <v>8</v>
      </c>
      <c r="C133" s="160" t="s">
        <v>207</v>
      </c>
      <c r="D133" s="161" t="s">
        <v>208</v>
      </c>
      <c r="E133" s="161" t="s">
        <v>209</v>
      </c>
      <c r="F133" s="162" t="s">
        <v>210</v>
      </c>
      <c r="G133" s="163" t="s">
        <v>176</v>
      </c>
      <c r="H133" s="163" t="s">
        <v>177</v>
      </c>
      <c r="I133" s="163" t="s">
        <v>186</v>
      </c>
      <c r="J133" s="163" t="s">
        <v>187</v>
      </c>
    </row>
    <row r="134" spans="2:10" x14ac:dyDescent="0.5">
      <c r="B134" s="164" t="s">
        <v>10</v>
      </c>
      <c r="C134" s="165">
        <v>286</v>
      </c>
      <c r="D134" s="127">
        <v>120</v>
      </c>
      <c r="E134" s="127">
        <v>0</v>
      </c>
      <c r="F134" s="127"/>
      <c r="G134" s="127">
        <v>1000</v>
      </c>
      <c r="H134" s="127">
        <v>1700</v>
      </c>
      <c r="I134" s="127">
        <v>3000</v>
      </c>
      <c r="J134" s="127">
        <v>5000</v>
      </c>
    </row>
    <row r="135" spans="2:10" x14ac:dyDescent="0.5">
      <c r="B135" s="77" t="s">
        <v>16</v>
      </c>
      <c r="C135" s="165">
        <v>481</v>
      </c>
      <c r="D135" s="68">
        <v>0</v>
      </c>
      <c r="E135" s="166">
        <v>30</v>
      </c>
      <c r="F135" s="68"/>
      <c r="G135" s="68">
        <v>1300</v>
      </c>
      <c r="H135" s="68">
        <v>2300</v>
      </c>
      <c r="I135" s="68">
        <v>3500</v>
      </c>
      <c r="J135" s="68">
        <v>5000</v>
      </c>
    </row>
    <row r="136" spans="2:10" x14ac:dyDescent="0.5">
      <c r="B136" s="77" t="s">
        <v>17</v>
      </c>
      <c r="C136" s="165">
        <v>777</v>
      </c>
      <c r="D136" s="68">
        <v>0</v>
      </c>
      <c r="E136" s="166">
        <v>45</v>
      </c>
      <c r="F136" s="68"/>
      <c r="G136" s="68">
        <v>2800</v>
      </c>
      <c r="H136" s="68">
        <v>4400</v>
      </c>
      <c r="I136" s="68">
        <v>5500</v>
      </c>
      <c r="J136" s="68">
        <v>8000</v>
      </c>
    </row>
    <row r="137" spans="2:10" x14ac:dyDescent="0.5">
      <c r="B137" s="77" t="s">
        <v>149</v>
      </c>
      <c r="C137" s="165">
        <v>601</v>
      </c>
      <c r="D137" s="68">
        <v>0</v>
      </c>
      <c r="E137" s="166">
        <v>30</v>
      </c>
      <c r="F137" s="68"/>
      <c r="G137" s="68">
        <v>2100</v>
      </c>
      <c r="H137" s="68">
        <v>3100</v>
      </c>
      <c r="I137" s="68">
        <v>4500</v>
      </c>
      <c r="J137" s="68">
        <v>6300</v>
      </c>
    </row>
    <row r="138" spans="2:10" x14ac:dyDescent="0.5">
      <c r="B138" s="77" t="s">
        <v>184</v>
      </c>
      <c r="C138" s="165">
        <v>610</v>
      </c>
      <c r="D138" s="68">
        <v>0</v>
      </c>
      <c r="E138" s="165">
        <v>30</v>
      </c>
      <c r="F138" s="68"/>
      <c r="G138" s="68">
        <v>2100</v>
      </c>
      <c r="H138" s="68">
        <v>3100</v>
      </c>
      <c r="I138" s="68">
        <v>4500</v>
      </c>
      <c r="J138" s="68">
        <v>6300</v>
      </c>
    </row>
    <row r="139" spans="2:10" x14ac:dyDescent="0.5">
      <c r="B139" s="77" t="s">
        <v>199</v>
      </c>
      <c r="C139" s="165">
        <v>718</v>
      </c>
      <c r="D139" s="68">
        <v>120</v>
      </c>
      <c r="E139" s="165">
        <v>0</v>
      </c>
      <c r="F139" s="68"/>
      <c r="G139" s="68">
        <v>2100</v>
      </c>
      <c r="H139" s="68">
        <v>2800</v>
      </c>
      <c r="I139" s="68">
        <v>4500</v>
      </c>
      <c r="J139" s="68">
        <v>6300</v>
      </c>
    </row>
    <row r="140" spans="2:10" x14ac:dyDescent="0.5">
      <c r="B140" s="41" t="s">
        <v>211</v>
      </c>
      <c r="C140" s="68">
        <v>456</v>
      </c>
      <c r="D140" s="165">
        <v>120</v>
      </c>
      <c r="E140" s="166">
        <v>0</v>
      </c>
      <c r="F140" s="68"/>
      <c r="G140" s="68">
        <v>450</v>
      </c>
      <c r="H140" s="68"/>
      <c r="I140" s="41"/>
      <c r="J140" s="41"/>
    </row>
    <row r="141" spans="2:10" x14ac:dyDescent="0.5">
      <c r="B141" s="41" t="s">
        <v>212</v>
      </c>
      <c r="C141" s="165">
        <v>687</v>
      </c>
      <c r="D141" s="165">
        <v>0</v>
      </c>
      <c r="E141" s="165">
        <v>43</v>
      </c>
      <c r="F141" s="68"/>
      <c r="G141" s="68">
        <v>700</v>
      </c>
      <c r="H141" s="68"/>
      <c r="I141" s="41"/>
      <c r="J141" s="41"/>
    </row>
    <row r="142" spans="2:10" x14ac:dyDescent="0.5">
      <c r="B142" s="41" t="s">
        <v>213</v>
      </c>
      <c r="C142" s="165">
        <v>1072</v>
      </c>
      <c r="D142" s="165">
        <v>0</v>
      </c>
      <c r="E142" s="165">
        <v>65</v>
      </c>
      <c r="F142" s="68"/>
      <c r="G142" s="68">
        <v>1500</v>
      </c>
      <c r="H142" s="68"/>
      <c r="I142" s="41"/>
      <c r="J142" s="41"/>
    </row>
    <row r="143" spans="2:10" x14ac:dyDescent="0.5">
      <c r="B143" s="41" t="s">
        <v>214</v>
      </c>
      <c r="C143" s="165">
        <v>903</v>
      </c>
      <c r="D143" s="165">
        <v>0</v>
      </c>
      <c r="E143" s="165">
        <v>43</v>
      </c>
      <c r="F143" s="68"/>
      <c r="G143" s="68">
        <v>1500</v>
      </c>
      <c r="H143" s="68"/>
      <c r="I143" s="41"/>
      <c r="J143" s="41"/>
    </row>
    <row r="144" spans="2:10" x14ac:dyDescent="0.5">
      <c r="B144" s="41" t="s">
        <v>215</v>
      </c>
      <c r="C144" s="165">
        <v>782</v>
      </c>
      <c r="D144" s="165">
        <v>0</v>
      </c>
      <c r="E144" s="165">
        <v>43</v>
      </c>
      <c r="F144" s="68"/>
      <c r="G144" s="68">
        <v>1200</v>
      </c>
      <c r="H144" s="68"/>
      <c r="I144" s="41"/>
      <c r="J144" s="41"/>
    </row>
    <row r="145" spans="2:10" x14ac:dyDescent="0.5">
      <c r="B145" s="41" t="s">
        <v>216</v>
      </c>
      <c r="C145" s="165">
        <v>923</v>
      </c>
      <c r="D145" s="165">
        <v>120</v>
      </c>
      <c r="E145" s="165">
        <v>0</v>
      </c>
      <c r="F145" s="68"/>
      <c r="G145" s="68">
        <v>1200</v>
      </c>
      <c r="H145" s="68"/>
      <c r="I145" s="41"/>
      <c r="J145" s="41"/>
    </row>
    <row r="146" spans="2:10" x14ac:dyDescent="0.5">
      <c r="B146" s="41" t="s">
        <v>217</v>
      </c>
      <c r="C146" s="165">
        <v>460</v>
      </c>
      <c r="D146" s="165">
        <v>120</v>
      </c>
      <c r="E146" s="165">
        <v>0</v>
      </c>
      <c r="F146" s="68"/>
      <c r="G146" s="68"/>
      <c r="H146" s="68"/>
      <c r="I146" s="41"/>
      <c r="J146" s="41"/>
    </row>
    <row r="147" spans="2:10" x14ac:dyDescent="0.5">
      <c r="B147" s="41" t="s">
        <v>218</v>
      </c>
      <c r="C147" s="165">
        <v>459</v>
      </c>
      <c r="D147" s="165">
        <v>0</v>
      </c>
      <c r="E147" s="165">
        <v>0</v>
      </c>
      <c r="F147" s="68" t="s">
        <v>219</v>
      </c>
      <c r="G147" s="68"/>
      <c r="H147" s="68"/>
      <c r="I147" s="41"/>
      <c r="J147" s="41"/>
    </row>
    <row r="148" spans="2:10" x14ac:dyDescent="0.5">
      <c r="B148" s="41" t="s">
        <v>220</v>
      </c>
      <c r="C148" s="165">
        <v>732</v>
      </c>
      <c r="D148" s="165">
        <v>0</v>
      </c>
      <c r="E148" s="165">
        <v>0</v>
      </c>
      <c r="F148" s="68" t="s">
        <v>219</v>
      </c>
      <c r="G148" s="68"/>
      <c r="H148" s="68"/>
      <c r="I148" s="41"/>
      <c r="J148" s="41"/>
    </row>
    <row r="149" spans="2:10" x14ac:dyDescent="0.5">
      <c r="B149" s="41" t="s">
        <v>221</v>
      </c>
      <c r="C149" s="165">
        <v>526</v>
      </c>
      <c r="D149" s="165">
        <v>0</v>
      </c>
      <c r="E149" s="165">
        <v>0</v>
      </c>
      <c r="F149" s="68" t="s">
        <v>219</v>
      </c>
      <c r="G149" s="68"/>
      <c r="H149" s="68"/>
      <c r="I149" s="41"/>
      <c r="J149" s="41"/>
    </row>
    <row r="150" spans="2:10" x14ac:dyDescent="0.5">
      <c r="B150" s="41" t="s">
        <v>222</v>
      </c>
      <c r="C150" s="165">
        <v>524</v>
      </c>
      <c r="D150" s="165">
        <v>0</v>
      </c>
      <c r="E150" s="165">
        <v>0</v>
      </c>
      <c r="F150" s="68" t="s">
        <v>219</v>
      </c>
      <c r="G150" s="68"/>
      <c r="H150" s="68"/>
      <c r="I150" s="41"/>
      <c r="J150" s="41"/>
    </row>
    <row r="151" spans="2:10" x14ac:dyDescent="0.5">
      <c r="B151" s="41" t="s">
        <v>223</v>
      </c>
      <c r="C151" s="165">
        <v>639</v>
      </c>
      <c r="D151" s="165">
        <v>120</v>
      </c>
      <c r="E151" s="165">
        <v>0</v>
      </c>
      <c r="F151" s="68"/>
      <c r="G151" s="68"/>
      <c r="H151" s="68"/>
      <c r="I151" s="41"/>
      <c r="J151" s="41"/>
    </row>
    <row r="152" spans="2:10" x14ac:dyDescent="0.5">
      <c r="B152" s="74"/>
      <c r="C152" s="70"/>
    </row>
    <row r="153" spans="2:10" hidden="1" x14ac:dyDescent="0.5">
      <c r="B153" s="40" t="s">
        <v>0</v>
      </c>
      <c r="C153" s="40" t="s">
        <v>0</v>
      </c>
    </row>
    <row r="154" spans="2:10" hidden="1" x14ac:dyDescent="0.5">
      <c r="B154" s="41" t="s">
        <v>1</v>
      </c>
      <c r="C154" s="41" t="s">
        <v>1</v>
      </c>
    </row>
    <row r="155" spans="2:10" hidden="1" x14ac:dyDescent="0.5">
      <c r="B155" s="41" t="s">
        <v>2</v>
      </c>
      <c r="C155" s="41" t="s">
        <v>2</v>
      </c>
    </row>
    <row r="156" spans="2:10" hidden="1" x14ac:dyDescent="0.5">
      <c r="B156" s="41" t="s">
        <v>3</v>
      </c>
      <c r="C156" s="41" t="s">
        <v>3</v>
      </c>
    </row>
    <row r="157" spans="2:10" hidden="1" x14ac:dyDescent="0.5">
      <c r="B157" s="41" t="s">
        <v>93</v>
      </c>
      <c r="C157" s="41" t="s">
        <v>93</v>
      </c>
    </row>
    <row r="158" spans="2:10" hidden="1" x14ac:dyDescent="0.5">
      <c r="B158" s="41" t="s">
        <v>4</v>
      </c>
      <c r="C158" s="41" t="s">
        <v>4</v>
      </c>
    </row>
    <row r="159" spans="2:10" hidden="1" x14ac:dyDescent="0.5">
      <c r="B159" s="41" t="s">
        <v>5</v>
      </c>
      <c r="C159" s="41" t="s">
        <v>231</v>
      </c>
    </row>
    <row r="160" spans="2:10" hidden="1" x14ac:dyDescent="0.5">
      <c r="B160" s="41" t="s">
        <v>6</v>
      </c>
      <c r="C160" s="41" t="s">
        <v>232</v>
      </c>
    </row>
    <row r="161" spans="2:10" hidden="1" x14ac:dyDescent="0.5">
      <c r="B161" s="41" t="s">
        <v>98</v>
      </c>
      <c r="C161" s="41" t="s">
        <v>6</v>
      </c>
    </row>
    <row r="162" spans="2:10" hidden="1" x14ac:dyDescent="0.5">
      <c r="B162" s="41" t="s">
        <v>7</v>
      </c>
      <c r="C162" s="41" t="s">
        <v>98</v>
      </c>
    </row>
    <row r="163" spans="2:10" hidden="1" x14ac:dyDescent="0.5">
      <c r="B163" s="81" t="s">
        <v>151</v>
      </c>
      <c r="C163" s="41" t="s">
        <v>7</v>
      </c>
    </row>
    <row r="164" spans="2:10" hidden="1" x14ac:dyDescent="0.5">
      <c r="B164" s="81" t="s">
        <v>152</v>
      </c>
      <c r="C164" s="41" t="s">
        <v>151</v>
      </c>
    </row>
    <row r="165" spans="2:10" hidden="1" x14ac:dyDescent="0.5">
      <c r="B165" s="30"/>
      <c r="C165" s="4"/>
    </row>
    <row r="166" spans="2:10" hidden="1" x14ac:dyDescent="0.5">
      <c r="B166" s="42" t="s">
        <v>8</v>
      </c>
      <c r="C166" s="43" t="s">
        <v>9</v>
      </c>
      <c r="D166" s="115" t="s">
        <v>176</v>
      </c>
      <c r="E166" s="115" t="s">
        <v>177</v>
      </c>
      <c r="F166" s="68" t="s">
        <v>186</v>
      </c>
      <c r="G166" s="68" t="s">
        <v>187</v>
      </c>
    </row>
    <row r="167" spans="2:10" hidden="1" x14ac:dyDescent="0.5">
      <c r="B167" s="44" t="s">
        <v>10</v>
      </c>
      <c r="C167" s="45">
        <v>2</v>
      </c>
      <c r="D167" s="116">
        <v>1000</v>
      </c>
      <c r="E167" s="116">
        <v>1700</v>
      </c>
      <c r="F167" s="127">
        <v>3000</v>
      </c>
      <c r="G167" s="127">
        <v>5000</v>
      </c>
      <c r="H167" s="5"/>
      <c r="I167" s="5"/>
      <c r="J167" s="5"/>
    </row>
    <row r="168" spans="2:10" hidden="1" x14ac:dyDescent="0.5">
      <c r="B168" s="46" t="s">
        <v>16</v>
      </c>
      <c r="C168" s="45">
        <v>3</v>
      </c>
      <c r="D168" s="115">
        <v>1300</v>
      </c>
      <c r="E168" s="115">
        <v>2300</v>
      </c>
      <c r="F168" s="68">
        <v>3500</v>
      </c>
      <c r="G168" s="68">
        <v>5000</v>
      </c>
    </row>
    <row r="169" spans="2:10" hidden="1" x14ac:dyDescent="0.5">
      <c r="B169" s="46" t="s">
        <v>17</v>
      </c>
      <c r="C169" s="45">
        <v>4</v>
      </c>
      <c r="D169" s="115">
        <v>2800</v>
      </c>
      <c r="E169" s="115">
        <v>4400</v>
      </c>
      <c r="F169" s="68">
        <v>5500</v>
      </c>
      <c r="G169" s="68">
        <v>8000</v>
      </c>
    </row>
    <row r="170" spans="2:10" hidden="1" x14ac:dyDescent="0.5">
      <c r="B170" s="89" t="s">
        <v>149</v>
      </c>
      <c r="C170" s="90">
        <v>5</v>
      </c>
      <c r="D170" s="115">
        <v>2100</v>
      </c>
      <c r="E170" s="115">
        <v>3100</v>
      </c>
      <c r="F170" s="68">
        <v>4500</v>
      </c>
      <c r="G170" s="68">
        <v>6300</v>
      </c>
    </row>
    <row r="171" spans="2:10" hidden="1" x14ac:dyDescent="0.5">
      <c r="B171" s="123" t="s">
        <v>184</v>
      </c>
      <c r="C171" s="90">
        <v>6</v>
      </c>
      <c r="D171" s="115">
        <v>2100</v>
      </c>
      <c r="E171" s="115">
        <v>3100</v>
      </c>
      <c r="F171" s="68">
        <v>4500</v>
      </c>
      <c r="G171" s="68">
        <v>6300</v>
      </c>
    </row>
    <row r="172" spans="2:10" hidden="1" x14ac:dyDescent="0.5">
      <c r="B172" s="123" t="s">
        <v>199</v>
      </c>
      <c r="C172" s="142">
        <v>7</v>
      </c>
      <c r="D172" s="139">
        <v>2100</v>
      </c>
      <c r="E172" s="139">
        <v>2800</v>
      </c>
      <c r="F172" s="139">
        <v>4500</v>
      </c>
      <c r="G172" s="139">
        <v>6300</v>
      </c>
    </row>
    <row r="173" spans="2:10" hidden="1" x14ac:dyDescent="0.5">
      <c r="B173" s="29"/>
      <c r="C173" s="29"/>
    </row>
    <row r="174" spans="2:10" hidden="1" x14ac:dyDescent="0.5">
      <c r="B174" s="41" t="s">
        <v>11</v>
      </c>
    </row>
    <row r="175" spans="2:10" hidden="1" x14ac:dyDescent="0.5">
      <c r="B175" s="41" t="s">
        <v>12</v>
      </c>
    </row>
    <row r="176" spans="2:10" hidden="1" x14ac:dyDescent="0.5">
      <c r="B176" s="41" t="s">
        <v>13</v>
      </c>
    </row>
    <row r="177" spans="2:3" hidden="1" x14ac:dyDescent="0.5">
      <c r="B177" s="41"/>
    </row>
    <row r="178" spans="2:3" hidden="1" x14ac:dyDescent="0.5">
      <c r="B178" s="50" t="s">
        <v>67</v>
      </c>
      <c r="C178" s="38"/>
    </row>
    <row r="179" spans="2:3" hidden="1" x14ac:dyDescent="0.5">
      <c r="B179" s="50" t="s">
        <v>112</v>
      </c>
      <c r="C179" s="38"/>
    </row>
    <row r="180" spans="2:3" hidden="1" x14ac:dyDescent="0.5">
      <c r="B180" s="50" t="s">
        <v>68</v>
      </c>
      <c r="C180" s="38"/>
    </row>
    <row r="181" spans="2:3" hidden="1" x14ac:dyDescent="0.5">
      <c r="B181" s="50" t="s">
        <v>69</v>
      </c>
      <c r="C181" s="38"/>
    </row>
    <row r="182" spans="2:3" hidden="1" x14ac:dyDescent="0.5">
      <c r="B182" s="50" t="s">
        <v>70</v>
      </c>
      <c r="C182" s="38"/>
    </row>
    <row r="183" spans="2:3" hidden="1" x14ac:dyDescent="0.5">
      <c r="B183" s="50" t="s">
        <v>94</v>
      </c>
      <c r="C183" s="38"/>
    </row>
    <row r="184" spans="2:3" hidden="1" x14ac:dyDescent="0.5">
      <c r="B184" s="50" t="s">
        <v>95</v>
      </c>
      <c r="C184" s="38"/>
    </row>
    <row r="185" spans="2:3" hidden="1" x14ac:dyDescent="0.5">
      <c r="B185" s="50" t="s">
        <v>174</v>
      </c>
    </row>
    <row r="186" spans="2:3" hidden="1" x14ac:dyDescent="0.5">
      <c r="B186" s="50" t="s">
        <v>175</v>
      </c>
    </row>
    <row r="187" spans="2:3" hidden="1" x14ac:dyDescent="0.5">
      <c r="B187" s="50" t="s">
        <v>71</v>
      </c>
    </row>
    <row r="188" spans="2:3" hidden="1" x14ac:dyDescent="0.5">
      <c r="B188" s="37"/>
    </row>
    <row r="189" spans="2:3" hidden="1" x14ac:dyDescent="0.5">
      <c r="B189" s="50" t="s">
        <v>72</v>
      </c>
    </row>
    <row r="190" spans="2:3" hidden="1" x14ac:dyDescent="0.5">
      <c r="B190" s="50" t="s">
        <v>112</v>
      </c>
    </row>
    <row r="191" spans="2:3" hidden="1" x14ac:dyDescent="0.5">
      <c r="B191" s="50" t="s">
        <v>73</v>
      </c>
    </row>
    <row r="192" spans="2:3" hidden="1" x14ac:dyDescent="0.5">
      <c r="B192" s="50" t="s">
        <v>74</v>
      </c>
    </row>
    <row r="193" spans="2:5" hidden="1" x14ac:dyDescent="0.5">
      <c r="B193" s="137" t="s">
        <v>196</v>
      </c>
    </row>
    <row r="194" spans="2:5" hidden="1" x14ac:dyDescent="0.5">
      <c r="B194" s="37"/>
    </row>
    <row r="195" spans="2:5" hidden="1" x14ac:dyDescent="0.5">
      <c r="B195" s="76" t="s">
        <v>114</v>
      </c>
      <c r="C195" s="75" t="s">
        <v>112</v>
      </c>
      <c r="D195" s="80" t="s">
        <v>143</v>
      </c>
      <c r="E195" s="144" t="s">
        <v>200</v>
      </c>
    </row>
    <row r="196" spans="2:5" hidden="1" x14ac:dyDescent="0.5">
      <c r="B196" s="76" t="s">
        <v>117</v>
      </c>
      <c r="C196" s="78" t="s">
        <v>118</v>
      </c>
      <c r="D196" s="78" t="s">
        <v>65</v>
      </c>
      <c r="E196" s="143" t="s">
        <v>198</v>
      </c>
    </row>
    <row r="197" spans="2:5" hidden="1" x14ac:dyDescent="0.5">
      <c r="B197" s="37" t="s">
        <v>115</v>
      </c>
      <c r="C197" s="77" t="s">
        <v>119</v>
      </c>
      <c r="D197" s="37" t="s">
        <v>144</v>
      </c>
      <c r="E197" s="68" t="s">
        <v>144</v>
      </c>
    </row>
    <row r="198" spans="2:5" hidden="1" x14ac:dyDescent="0.5">
      <c r="B198" s="41" t="s">
        <v>116</v>
      </c>
      <c r="C198" s="77" t="s">
        <v>120</v>
      </c>
      <c r="D198" s="41" t="s">
        <v>145</v>
      </c>
      <c r="E198" s="68" t="s">
        <v>201</v>
      </c>
    </row>
    <row r="199" spans="2:5" hidden="1" x14ac:dyDescent="0.5">
      <c r="B199" s="29"/>
      <c r="C199" s="77" t="s">
        <v>121</v>
      </c>
      <c r="D199" s="37" t="s">
        <v>146</v>
      </c>
      <c r="E199" s="68" t="s">
        <v>202</v>
      </c>
    </row>
    <row r="200" spans="2:5" hidden="1" x14ac:dyDescent="0.5">
      <c r="B200" s="37"/>
      <c r="C200" s="77" t="s">
        <v>122</v>
      </c>
      <c r="E200" s="68" t="s">
        <v>203</v>
      </c>
    </row>
    <row r="201" spans="2:5" hidden="1" x14ac:dyDescent="0.5">
      <c r="B201" s="37"/>
      <c r="C201" s="77" t="s">
        <v>123</v>
      </c>
    </row>
    <row r="202" spans="2:5" hidden="1" x14ac:dyDescent="0.5">
      <c r="B202" s="37"/>
      <c r="C202" s="77" t="s">
        <v>124</v>
      </c>
    </row>
    <row r="203" spans="2:5" hidden="1" x14ac:dyDescent="0.5">
      <c r="C203" s="77" t="s">
        <v>125</v>
      </c>
    </row>
    <row r="204" spans="2:5" hidden="1" x14ac:dyDescent="0.5">
      <c r="C204" s="77" t="s">
        <v>126</v>
      </c>
    </row>
    <row r="205" spans="2:5" hidden="1" x14ac:dyDescent="0.5">
      <c r="C205" s="77" t="s">
        <v>127</v>
      </c>
    </row>
    <row r="206" spans="2:5" hidden="1" x14ac:dyDescent="0.5">
      <c r="C206" s="77" t="s">
        <v>128</v>
      </c>
    </row>
    <row r="207" spans="2:5" hidden="1" x14ac:dyDescent="0.5">
      <c r="C207" s="77" t="s">
        <v>129</v>
      </c>
    </row>
    <row r="208" spans="2:5" hidden="1" x14ac:dyDescent="0.5">
      <c r="C208" s="77" t="s">
        <v>130</v>
      </c>
    </row>
    <row r="209" spans="2:4" hidden="1" x14ac:dyDescent="0.5">
      <c r="C209" s="77" t="s">
        <v>131</v>
      </c>
    </row>
    <row r="210" spans="2:4" hidden="1" x14ac:dyDescent="0.5">
      <c r="C210" s="77" t="s">
        <v>132</v>
      </c>
    </row>
    <row r="211" spans="2:4" hidden="1" x14ac:dyDescent="0.5">
      <c r="C211" s="77" t="s">
        <v>133</v>
      </c>
    </row>
    <row r="212" spans="2:4" hidden="1" x14ac:dyDescent="0.5">
      <c r="C212" s="77" t="s">
        <v>134</v>
      </c>
    </row>
    <row r="213" spans="2:4" hidden="1" x14ac:dyDescent="0.5">
      <c r="C213" s="77" t="s">
        <v>135</v>
      </c>
    </row>
    <row r="214" spans="2:4" hidden="1" x14ac:dyDescent="0.5">
      <c r="C214" s="77" t="s">
        <v>136</v>
      </c>
    </row>
    <row r="215" spans="2:4" hidden="1" x14ac:dyDescent="0.5">
      <c r="C215" s="77" t="s">
        <v>137</v>
      </c>
    </row>
    <row r="216" spans="2:4" hidden="1" x14ac:dyDescent="0.5">
      <c r="C216" s="77" t="s">
        <v>138</v>
      </c>
    </row>
    <row r="217" spans="2:4" hidden="1" x14ac:dyDescent="0.5">
      <c r="C217" s="77" t="s">
        <v>139</v>
      </c>
    </row>
    <row r="218" spans="2:4" hidden="1" x14ac:dyDescent="0.5"/>
    <row r="219" spans="2:4" hidden="1" x14ac:dyDescent="0.5">
      <c r="B219" s="97" t="s">
        <v>163</v>
      </c>
    </row>
    <row r="220" spans="2:4" hidden="1" x14ac:dyDescent="0.5">
      <c r="B220" s="41" t="s">
        <v>164</v>
      </c>
      <c r="C220" s="75" t="s">
        <v>170</v>
      </c>
      <c r="D220" s="75" t="s">
        <v>171</v>
      </c>
    </row>
    <row r="221" spans="2:4" hidden="1" x14ac:dyDescent="0.5">
      <c r="B221" s="96">
        <f>COLUMN(DoorLookup[Finish Whole Panel Price])-1</f>
        <v>8</v>
      </c>
      <c r="C221" s="96">
        <f>COLUMN(DoorLookup[Laminate Edges Finish Price])-1</f>
        <v>9</v>
      </c>
      <c r="D221" s="96">
        <f>COLUMN(DoorLookup[Linoleum Edge Finish Price])-1</f>
        <v>10</v>
      </c>
    </row>
    <row r="223" spans="2:4" x14ac:dyDescent="0.5">
      <c r="B223" s="41"/>
      <c r="C223" s="41"/>
    </row>
    <row r="224" spans="2:4" x14ac:dyDescent="0.5">
      <c r="B224" s="96"/>
    </row>
  </sheetData>
  <sheetProtection algorithmName="SHA-512" hashValue="OxnW6Dht9VZaNm8GCfKLaB0hYChn6DA4OOTeVJqnIMv+AseKC7oaGsC3fwjlpDOrbex9BRN1paumhJ319ZTaxg==" saltValue="TmEzGb3h3GXm8cayyRlQyA==" spinCount="100000" sheet="1" selectLockedCells="1" selectUnlockedCells="1"/>
  <pageMargins left="0.7" right="0.7" top="0.75" bottom="0.75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y p e _ a 2 7 5 e 4 9 f - e e c c - 4 e a 4 - 8 e 6 4 - 8 7 0 2 5 8 6 a 3 0 1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 D r a w e r < / s t r i n g > < / k e y > < v a l u e > < i n t > 8 1 < / i n t > < / v a l u e > < / i t e m > < / C o l u m n W i d t h s > < C o l u m n D i s p l a y I n d e x > < i t e m > < k e y > < s t r i n g > D r a w e r 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 T a b l e 1 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O r d e r " > < C u s t o m C o n t e n t > T a b l e 3 0 , T a b l e 1 < / C u s t o m C o n t e n t > < / G e m i n i > 
</file>

<file path=customXml/item18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y p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 i : t y p e = " S a n d b o x E d i t o r M e a s u r e G r i d K e y " & g t ; & l t ; T a b l e N a m e & g t ; T y p e & l t ; / T a b l e N a m e & g t ; & l t ; / K e y & g t ; & l t ; M a i n t a i n e r 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r a w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r a w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3 0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 i : t y p e = " S a n d b o x E d i t o r M e a s u r e G r i d K e y " & g t ; & l t ; T a b l e N a m e & g t ; T a b l e 3 0 & l t ; / T a b l e N a m e & g t ; & l t ; / K e y & g t ; & l t ; M a i n t a i n e r 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 r e a d o n l y & l t ; / K e y & g t ; & l t ; / D i a g r a m O b j e c t K e y & g t ; & l t ; D i a g r a m O b j e c t K e y & g t ; & l t ; K e y & g t ; C o l u m n s \ T y p e   o f   f r o n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y p e   o f   f r o n t & l t ; / K e y & g t ; & l t ; / a : K e y & g t ; & l t ; a : V a l u e 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a b l e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e s i g n s & l t ; / K e y & g t ; & l t ; / D i a g r a m O b j e c t K e y & g t ; & l t ; D i a g r a m O b j e c t K e y & g t ; & l t ; K e y & g t ; C o l u m n s \ M a t e r i a l   a n d   f i n i s h & l t ; / K e y & g t ; & l t ; / D i a g r a m O b j e c t K e y & g t ; & l t ; D i a g r a m O b j e c t K e y & g t ; & l t ; K e y & g t ; C o l u m n s \ P r i c e   p e r   c u t   s h e e t & l t ; / K e y & g t ; & l t ; / D i a g r a m O b j e c t K e y & g t ; & l t ; D i a g r a m O b j e c t K e y & g t ; & l t ; K e y & g t ; C o l u m n s \ P r i c e   p e r   s q m & l t ; / K e y & g t ; & l t ; / D i a g r a m O b j e c t K e y & g t ; & l t ; D i a g r a m O b j e c t K e y & g t ; & l t ; K e y & g t ; C o l u m n s \ M u l t i p l e & l t ; / K e y & g t ; & l t ; / D i a g r a m O b j e c t K e y & g t ; & l t ; D i a g r a m O b j e c t K e y & g t ; & l t ; K e y & g t ; C o l u m n s \ R e t a i l   P r i c e   p / s q m & l t ; / K e y & g t ; & l t ; / D i a g r a m O b j e c t K e y & g t ; & l t ; D i a g r a m O b j e c t K e y & g t ; & l t ; K e y & g t ; C o l u m n s \ C u s t o m   P r i c e   p r / s q m & l t ; / K e y & g t ; & l t ; / D i a g r a m O b j e c t K e y & g t ; & l t ; D i a g r a m O b j e c t K e y & g t ; & l t ; K e y & g t ; C o l u m n s \ D e s i g n   C o l u m n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i g n s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t e r i a l   a n d   f i n i s h & l t ; / K e y & g t ; & l t ; / a : K e y & g t ; & l t ; a : V a l u e 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  p e r   c u t   s h e e t & l t ; / K e y & g t ; & l t ; / a : K e y & g t ; & l t ; a : V a l u e 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  p e r   s q m & l t ; / K e y & g t ; & l t ; / a : K e y & g t ; & l t ; a : V a l u e 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u l t i p l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t a i l   P r i c e   p / s q m & l t ; / K e y & g t ; & l t ; / a : K e y & g t ; & l t ; a : V a l u e 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  P r i c e   p r / s q m & l t ; / K e y & g t ; & l t ; / a : K e y & g t ; & l t ; a : V a l u e 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i g n   C o l u m n & l t ; / K e y & g t ; & l t ; / a : K e y & g t ; & l t ; a : V a l u e 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 2 0 1 7 - 0 8 - 2 5 T 0 8 : 4 1 : 0 6 . 6 7 6 1 2 5 7 + 1 0 : 0 0 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2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3 0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2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T a b l e 3 0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 i : t y p e = " S a n d b o x E d i t o r T a b l e W i d g e t V i e w M o d e l K e y " & g t ; & l t ; T a b l e N a m e & g t ; T a b l e 3 0 & l t ; / T a b l e N a m e & g t ; & l t ; / K e y & g t ; & l t ; M a i n t a i n e r 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y p e   o f   f r o n t & l t ; / K e y & g t ; & l t ; / a : K e y & g t ; & l t ; a : V a l u e 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T y p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 i : t y p e = " S a n d b o x E d i t o r T a b l e W i d g e t V i e w M o d e l K e y " & g t ; & l t ; T a b l e N a m e & g t ; T y p e & l t ; / T a b l e N a m e & g t ; & l t ; / K e y & g t ; & l t ; M a i n t a i n e r 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r a w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T a b l e 1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 i : t y p e = " S a n d b o x E d i t o r T a b l e W i d g e t V i e w M o d e l K e y " & g t ; & l t ; T a b l e N a m e & g t ; T a b l e 1 & l t ; / T a b l e N a m e & g t ; & l t ; / K e y & g t ; & l t ; M a i n t a i n e r 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i g n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t e r i a l   a n d   f i n i s h & l t ; / K e y & g t ; & l t ; / a : K e y & g t ; & l t ; a : V a l u e 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  p e r   c u t   s h e e t & l t ; / K e y & g t ; & l t ; / a : K e y & g t ; & l t ; a : V a l u e 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c e   p e r   s q m & l t ; / K e y & g t ; & l t ; / a : K e y & g t ; & l t ; a : V a l u e 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u l t i p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t a i l   P r i c e   p / s q m & l t ; / K e y & g t ; & l t ; / a : K e y & g t ; & l t ; a : V a l u e 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u s t o m   P r i c e   p r / s q m & l t ; / K e y & g t ; & l t ; / a : K e y & g t ; & l t ; a : V a l u e 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e s i g n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D a t a M a s h u p   s q m i d = " d 1 0 d d e 4 7 - c 8 f c - 4 6 9 d - a e 9 0 - 5 c 7 e 8 c c 9 f e b 2 "   x m l n s = " h t t p : / / s c h e m a s . m i c r o s o f t . c o m / D a t a M a s h u p " > A A A A A B c D A A B Q S w M E F A A C A A g A j m k s S y p W L 5 + n A A A A + Q A A A B I A H A B D b 2 5 m a W c v U G F j a 2 F n Z S 5 4 b W w g o h g A K K A U A A A A A A A A A A A A A A A A A A A A A A A A A A A A h Y / f C o I w H I V f R X b v / p h F y M 9 J d J s Q R N H t m E t H O s P N 5 r t 1 0 S P 1 C g l l e N f l O X w H v v N 6 P C E b m j q 4 q 8 7 q 1 q S I Y Y o C Z W R b a F O m q H e X c I 0 y D n s h r 6 J U w Q g b m w x W p 6 h y 7 p Y Q 4 r 3 H f o H b r i Q R p Y y c 8 9 1 B V q o R o T b W C S M V + q 2 K / y v E 4 f S R 4 R G O Y h z T 1 R K z m D I g U w + 5 N j N m V M Y U y K y E b V + 7 v l N c m X B z B D J F I N 8 b / A 1 Q S w M E F A A C A A g A j m k s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5 p L E s o i k e 4 D g A A A B E A A A A T A B w A R m 9 y b X V s Y X M v U 2 V j d G l v b j E u b S C i G A A o o B Q A A A A A A A A A A A A A A A A A A A A A A A A A A A A r T k 0 u y c z P U w i G 0 I b W A F B L A Q I t A B Q A A g A I A I 5 p L E s q V i + f p w A A A P k A A A A S A A A A A A A A A A A A A A A A A A A A A A B D b 2 5 m a W c v U G F j a 2 F n Z S 5 4 b W x Q S w E C L Q A U A A I A C A C O a S x L D 8 r p q 6 Q A A A D p A A A A E w A A A A A A A A A A A A A A A A D z A A A A W 0 N v b n R l b n R f V H l w Z X N d L n h t b F B L A Q I t A B Q A A g A I A I 5 p L E s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P x B J l 7 F 4 J 0 + 3 7 0 Z z W y n j m A A A A A A C A A A A A A A Q Z g A A A A E A A C A A A A A E Y l q l E j K J A N T L P P l k / e / o c 6 x z 3 p O I 5 c U L 4 5 1 z v Y H s S A A A A A A O g A A A A A I A A C A A A A D H B C 2 G H E W Z U 5 g W 6 v N X s w y f p W x b m 7 q v b E R D y 4 N b p V m j M V A A A A C H E l i r K R 2 m r F i M i d m q i Q I i n e B m h X V 6 K S U f b d 2 r o E / C z P s 5 T N r J U f V / 3 t S Q A W J l w T B W U J l F Y + 4 R i s U c 1 R S z 8 I m M r c H N K / m o J J G V 7 R A D + a O s p k A A A A D L J L P z d q q X Z S / L P 3 o u 8 k W Z g i s 8 G N P t v 9 B N K X D f Z G s y i 8 m B S u y D L 7 E k O r U p e 9 u R f i 7 4 o o s w 0 h p b R Q Y g 0 L / U / w I n < / D a t a M a s h u p > 
</file>

<file path=customXml/item8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 D e s i g n s < / s t r i n g > < / k e y > < v a l u e > < i n t > 8 4 < / i n t > < / v a l u e > < / i t e m > < i t e m > < k e y > < s t r i n g > M a t e r i a l   a n d   f i n i s h < / s t r i n g > < / k e y > < v a l u e > < i n t > 1 5 1 < / i n t > < / v a l u e > < / i t e m > < i t e m > < k e y > < s t r i n g > P r i c e   p e r   c u t   s h e e t < / s t r i n g > < / k e y > < v a l u e > < i n t > 1 5 1 < / i n t > < / v a l u e > < / i t e m > < i t e m > < k e y > < s t r i n g > P r i c e   p e r   s q m < / s t r i n g > < / k e y > < v a l u e > < i n t > 1 2 0 < / i n t > < / v a l u e > < / i t e m > < i t e m > < k e y > < s t r i n g > M u l t i p l e < / s t r i n g > < / k e y > < v a l u e > < i n t > 8 8 < / i n t > < / v a l u e > < / i t e m > < i t e m > < k e y > < s t r i n g > R e t a i l   P r i c e   p / s q m < / s t r i n g > < / k e y > < v a l u e > < i n t > 1 4 9 < / i n t > < / v a l u e > < / i t e m > < i t e m > < k e y > < s t r i n g > C u s t o m   P r i c e   p r / s q m < / s t r i n g > < / k e y > < v a l u e > < i n t > 1 6 5 < / i n t > < / v a l u e > < / i t e m > < i t e m > < k e y > < s t r i n g > D e s i g n   C o l u m n < / s t r i n g > < / k e y > < v a l u e > < i n t > 1 2 9 < / i n t > < / v a l u e > < / i t e m > < / C o l u m n W i d t h s > < C o l u m n D i s p l a y I n d e x > < i t e m > < k e y > < s t r i n g > D e s i g n s < / s t r i n g > < / k e y > < v a l u e > < i n t > 0 < / i n t > < / v a l u e > < / i t e m > < i t e m > < k e y > < s t r i n g > M a t e r i a l   a n d   f i n i s h < / s t r i n g > < / k e y > < v a l u e > < i n t > 1 < / i n t > < / v a l u e > < / i t e m > < i t e m > < k e y > < s t r i n g > P r i c e   p e r   c u t   s h e e t < / s t r i n g > < / k e y > < v a l u e > < i n t > 2 < / i n t > < / v a l u e > < / i t e m > < i t e m > < k e y > < s t r i n g > P r i c e   p e r   s q m < / s t r i n g > < / k e y > < v a l u e > < i n t > 3 < / i n t > < / v a l u e > < / i t e m > < i t e m > < k e y > < s t r i n g > M u l t i p l e < / s t r i n g > < / k e y > < v a l u e > < i n t > 4 < / i n t > < / v a l u e > < / i t e m > < i t e m > < k e y > < s t r i n g > R e t a i l   P r i c e   p / s q m < / s t r i n g > < / k e y > < v a l u e > < i n t > 5 < / i n t > < / v a l u e > < / i t e m > < i t e m > < k e y > < s t r i n g > C u s t o m   P r i c e   p r / s q m < / s t r i n g > < / k e y > < v a l u e > < i n t > 6 < / i n t > < / v a l u e > < / i t e m > < i t e m > < k e y > < s t r i n g > D e s i g n   C o l u m n 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l e 3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 T y p e   o f   f r o n t < / s t r i n g > < / k e y > < v a l u e > < i n t > 1 1 5 < / i n t > < / v a l u e > < / i t e m > < / C o l u m n W i d t h s > < C o l u m n D i s p l a y I n d e x > < i t e m > < k e y > < s t r i n g > T y p e   o f   f r o n t 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55559B4-012E-47A5-9907-26AC394A0A45}">
  <ds:schemaRefs/>
</ds:datastoreItem>
</file>

<file path=customXml/itemProps10.xml><?xml version="1.0" encoding="utf-8"?>
<ds:datastoreItem xmlns:ds="http://schemas.openxmlformats.org/officeDocument/2006/customXml" ds:itemID="{082D4D5A-1EC2-4E68-9A20-BF3225627C75}">
  <ds:schemaRefs/>
</ds:datastoreItem>
</file>

<file path=customXml/itemProps11.xml><?xml version="1.0" encoding="utf-8"?>
<ds:datastoreItem xmlns:ds="http://schemas.openxmlformats.org/officeDocument/2006/customXml" ds:itemID="{CF9D0FB9-21A6-45E4-AACB-856CF42DDC62}">
  <ds:schemaRefs/>
</ds:datastoreItem>
</file>

<file path=customXml/itemProps12.xml><?xml version="1.0" encoding="utf-8"?>
<ds:datastoreItem xmlns:ds="http://schemas.openxmlformats.org/officeDocument/2006/customXml" ds:itemID="{5C99EE49-E46D-483D-A7DC-5123AF397C4E}">
  <ds:schemaRefs/>
</ds:datastoreItem>
</file>

<file path=customXml/itemProps13.xml><?xml version="1.0" encoding="utf-8"?>
<ds:datastoreItem xmlns:ds="http://schemas.openxmlformats.org/officeDocument/2006/customXml" ds:itemID="{DBEE51E0-5095-4908-9592-A4B6D3D7280E}">
  <ds:schemaRefs/>
</ds:datastoreItem>
</file>

<file path=customXml/itemProps14.xml><?xml version="1.0" encoding="utf-8"?>
<ds:datastoreItem xmlns:ds="http://schemas.openxmlformats.org/officeDocument/2006/customXml" ds:itemID="{07353A06-A4D7-4AB2-8374-FA3FC1E62EB7}">
  <ds:schemaRefs/>
</ds:datastoreItem>
</file>

<file path=customXml/itemProps15.xml><?xml version="1.0" encoding="utf-8"?>
<ds:datastoreItem xmlns:ds="http://schemas.openxmlformats.org/officeDocument/2006/customXml" ds:itemID="{7027C765-B19B-43BA-9B74-B50A7FEC8BDB}">
  <ds:schemaRefs/>
</ds:datastoreItem>
</file>

<file path=customXml/itemProps16.xml><?xml version="1.0" encoding="utf-8"?>
<ds:datastoreItem xmlns:ds="http://schemas.openxmlformats.org/officeDocument/2006/customXml" ds:itemID="{D8375E12-C439-42C3-AAFA-FE353F73E011}">
  <ds:schemaRefs/>
</ds:datastoreItem>
</file>

<file path=customXml/itemProps17.xml><?xml version="1.0" encoding="utf-8"?>
<ds:datastoreItem xmlns:ds="http://schemas.openxmlformats.org/officeDocument/2006/customXml" ds:itemID="{A174903B-7787-4812-BB0E-D9A14D856626}">
  <ds:schemaRefs/>
</ds:datastoreItem>
</file>

<file path=customXml/itemProps18.xml><?xml version="1.0" encoding="utf-8"?>
<ds:datastoreItem xmlns:ds="http://schemas.openxmlformats.org/officeDocument/2006/customXml" ds:itemID="{75BC1449-1E5A-44D4-9963-BE395419A36A}">
  <ds:schemaRefs/>
</ds:datastoreItem>
</file>

<file path=customXml/itemProps19.xml><?xml version="1.0" encoding="utf-8"?>
<ds:datastoreItem xmlns:ds="http://schemas.openxmlformats.org/officeDocument/2006/customXml" ds:itemID="{9776FBD8-6A3C-4DA7-8A2C-361757B9D1E3}">
  <ds:schemaRefs/>
</ds:datastoreItem>
</file>

<file path=customXml/itemProps2.xml><?xml version="1.0" encoding="utf-8"?>
<ds:datastoreItem xmlns:ds="http://schemas.openxmlformats.org/officeDocument/2006/customXml" ds:itemID="{664A6EF3-A926-46A8-AF8C-0F5C07868586}">
  <ds:schemaRefs/>
</ds:datastoreItem>
</file>

<file path=customXml/itemProps20.xml><?xml version="1.0" encoding="utf-8"?>
<ds:datastoreItem xmlns:ds="http://schemas.openxmlformats.org/officeDocument/2006/customXml" ds:itemID="{A5EA8D9F-11DF-4574-90AD-BB327FFAE384}">
  <ds:schemaRefs/>
</ds:datastoreItem>
</file>

<file path=customXml/itemProps3.xml><?xml version="1.0" encoding="utf-8"?>
<ds:datastoreItem xmlns:ds="http://schemas.openxmlformats.org/officeDocument/2006/customXml" ds:itemID="{2BC7C6C2-29E6-4B21-B067-18F5FB2D32D1}">
  <ds:schemaRefs/>
</ds:datastoreItem>
</file>

<file path=customXml/itemProps4.xml><?xml version="1.0" encoding="utf-8"?>
<ds:datastoreItem xmlns:ds="http://schemas.openxmlformats.org/officeDocument/2006/customXml" ds:itemID="{9191340B-0ABF-4063-8461-111FC9472085}">
  <ds:schemaRefs/>
</ds:datastoreItem>
</file>

<file path=customXml/itemProps5.xml><?xml version="1.0" encoding="utf-8"?>
<ds:datastoreItem xmlns:ds="http://schemas.openxmlformats.org/officeDocument/2006/customXml" ds:itemID="{B4E99364-A415-4458-8E1D-6A7FED9497F7}">
  <ds:schemaRefs/>
</ds:datastoreItem>
</file>

<file path=customXml/itemProps6.xml><?xml version="1.0" encoding="utf-8"?>
<ds:datastoreItem xmlns:ds="http://schemas.openxmlformats.org/officeDocument/2006/customXml" ds:itemID="{A11B942D-BDFE-4CD8-A58E-E2CC6104BDF6}">
  <ds:schemaRefs/>
</ds:datastoreItem>
</file>

<file path=customXml/itemProps7.xml><?xml version="1.0" encoding="utf-8"?>
<ds:datastoreItem xmlns:ds="http://schemas.openxmlformats.org/officeDocument/2006/customXml" ds:itemID="{DC10E445-BAFB-4317-985A-6B143A0BF20D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54CDA774-764A-4DD6-A981-A01B645BE7C8}">
  <ds:schemaRefs/>
</ds:datastoreItem>
</file>

<file path=customXml/itemProps9.xml><?xml version="1.0" encoding="utf-8"?>
<ds:datastoreItem xmlns:ds="http://schemas.openxmlformats.org/officeDocument/2006/customXml" ds:itemID="{BC686BEE-5378-4542-8E2D-8640D48600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QuotingSheet</vt:lpstr>
      <vt:lpstr>PriceList</vt:lpstr>
      <vt:lpstr>CounterTop</vt:lpstr>
      <vt:lpstr>DesignList</vt:lpstr>
      <vt:lpstr>Door</vt:lpstr>
      <vt:lpstr>Drawer</vt:lpstr>
      <vt:lpstr>Filler</vt:lpstr>
      <vt:lpstr>Finish</vt:lpstr>
      <vt:lpstr>HandlePosition</vt:lpstr>
      <vt:lpstr>Handles</vt:lpstr>
      <vt:lpstr>Hinging</vt:lpstr>
      <vt:lpstr>Hole</vt:lpstr>
      <vt:lpstr>HorizontalDoor</vt:lpstr>
      <vt:lpstr>Kickboard</vt:lpstr>
      <vt:lpstr>Laminate</vt:lpstr>
      <vt:lpstr>Linoleum</vt:lpstr>
      <vt:lpstr>MaterialLookup</vt:lpstr>
      <vt:lpstr>MDFDoor</vt:lpstr>
      <vt:lpstr>NaturalPlywoodCounterTop</vt:lpstr>
      <vt:lpstr>Panel</vt:lpstr>
      <vt:lpstr>PAXDoor</vt:lpstr>
      <vt:lpstr>PriceLookup</vt:lpstr>
      <vt:lpstr>QuotingSheet!Print_Area</vt:lpstr>
      <vt:lpstr>Type</vt:lpstr>
      <vt:lpstr>Type2</vt:lpstr>
      <vt:lpstr>Veneer</vt:lpstr>
      <vt:lpstr>WallcupboardDoor</vt:lpstr>
      <vt:lpstr>WallCupboardDoorLookup</vt:lpstr>
      <vt:lpstr>WallCupboardPanel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</dc:creator>
  <cp:lastModifiedBy>Audhild Reinsby</cp:lastModifiedBy>
  <cp:lastPrinted>2019-09-11T10:18:33Z</cp:lastPrinted>
  <dcterms:created xsi:type="dcterms:W3CDTF">2017-08-24T01:49:48Z</dcterms:created>
  <dcterms:modified xsi:type="dcterms:W3CDTF">2019-09-30T12:17:24Z</dcterms:modified>
</cp:coreProperties>
</file>